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2019\8 - PREGÃO VIGILÂNCIA\"/>
    </mc:Choice>
  </mc:AlternateContent>
  <bookViews>
    <workbookView xWindow="0" yWindow="0" windowWidth="28800" windowHeight="12330" tabRatio="772" firstSheet="1" activeTab="4"/>
  </bookViews>
  <sheets>
    <sheet name="Plan. Auxiliar" sheetId="27" state="hidden" r:id="rId1"/>
    <sheet name="Benef. e Insumos" sheetId="3" r:id="rId2"/>
    <sheet name="VIG. DIURNO" sheetId="10" r:id="rId3"/>
    <sheet name="VIG. NOTURNO" sheetId="31" r:id="rId4"/>
    <sheet name="QUADRO RESUMO" sheetId="29" r:id="rId5"/>
    <sheet name="&quot;03&quot; Laborat." sheetId="13" state="hidden" r:id="rId6"/>
    <sheet name="&quot;04&quot; Almoxarifados" sheetId="4" state="hidden" r:id="rId7"/>
    <sheet name="&quot;05&quot; Oficinas" sheetId="14" state="hidden" r:id="rId8"/>
    <sheet name="&quot;06&quot; Esp.Livres" sheetId="15" state="hidden" r:id="rId9"/>
    <sheet name="&quot;08&quot; P. Adj e Cont." sheetId="18" state="hidden" r:id="rId10"/>
    <sheet name="&quot;09&quot; Varrição" sheetId="19" state="hidden" r:id="rId11"/>
    <sheet name="&quot;10&quot; Pat. e Áreas Verdes" sheetId="21" state="hidden" r:id="rId12"/>
    <sheet name="&quot;14&quot; Fachada Envidraçada" sheetId="26" state="hidden" r:id="rId13"/>
  </sheets>
  <definedNames>
    <definedName name="A" localSheetId="3">'VIG. NOTURNO'!#REF!</definedName>
    <definedName name="A">'VIG. DIURNO'!#REF!</definedName>
    <definedName name="Aparecida">'Plan. Auxiliar'!$D$3</definedName>
    <definedName name="Araçatuba">'Plan. Auxiliar'!$E$3</definedName>
    <definedName name="_xlnm.Print_Area" localSheetId="2">'VIG. DIURNO'!$A$1:$M$118</definedName>
    <definedName name="_xlnm.Print_Area" localSheetId="3">'VIG. NOTURNO'!$A$1:$M$120</definedName>
    <definedName name="áreas" localSheetId="3">#REF!</definedName>
    <definedName name="áreas">#REF!</definedName>
    <definedName name="Arujá">'Plan. Auxiliar'!$F$3</definedName>
    <definedName name="Atibaia">'Plan. Auxiliar'!$G$3:$G$4</definedName>
    <definedName name="B" localSheetId="3">'VIG. NOTURNO'!#REF!</definedName>
    <definedName name="B">'VIG. DIURNO'!#REF!</definedName>
    <definedName name="Barra_do_Turvo">'Plan. Auxiliar'!$I$3:$J$3</definedName>
    <definedName name="Bauru">'Plan. Auxiliar'!$I$3</definedName>
    <definedName name="C_" localSheetId="3">'VIG. NOTURNO'!$Q$57</definedName>
    <definedName name="C_">'VIG. DIURNO'!$Q$55</definedName>
    <definedName name="Caçapava">'Plan. Auxiliar'!$J$3</definedName>
    <definedName name="Cachoeira_Paulista">'Plan. Auxiliar'!$K$3:$K$4</definedName>
    <definedName name="Cajati">'Plan. Auxiliar'!$L$3</definedName>
    <definedName name="Campinas">'Plan. Auxiliar'!$N$3</definedName>
    <definedName name="D" localSheetId="3">'VIG. NOTURNO'!$Q$58</definedName>
    <definedName name="D">'VIG. DIURNO'!$Q$56</definedName>
    <definedName name="Del_05_Posto_Barra_do_Turvo">'Plan. Auxiliar'!$I$3:$J$3</definedName>
    <definedName name="Del_10_Marília">'Plan. Auxiliar'!$S$3</definedName>
    <definedName name="Guaiçara">'Plan. Auxiliar'!$N$3</definedName>
    <definedName name="Guarulhos">'Plan. Auxiliar'!$O$3:$O$6</definedName>
    <definedName name="Itapecerica_da_Serra">'Plan. Auxiliar'!$P$3:$P$4</definedName>
    <definedName name="Lavrinhas">'Plan. Auxiliar'!$Q$3</definedName>
    <definedName name="Marília">'Plan. Auxiliar'!$S$3:$S$4</definedName>
    <definedName name="materiaishig" localSheetId="3">#REF!</definedName>
    <definedName name="materiaishig">#REF!</definedName>
    <definedName name="Medida" localSheetId="3">#REF!</definedName>
    <definedName name="Medida">#REF!</definedName>
    <definedName name="Miracatu">'Plan. Auxiliar'!$S$3:$S$4</definedName>
    <definedName name="Municípios">'Plan. Auxiliar'!$B$3:$B$34</definedName>
    <definedName name="Osasco">'Plan. Auxiliar'!$T$3</definedName>
    <definedName name="Ourinhos">'Plan. Auxiliar'!$U$3</definedName>
    <definedName name="Piquete">'Plan. Auxiliar'!$V$3</definedName>
    <definedName name="Piracicaba">'Plan. Auxiliar'!$W$3</definedName>
    <definedName name="Presidente_Prudente">'Plan. Auxiliar'!$X$3:$X$4</definedName>
    <definedName name="Produtividade" localSheetId="3">#REF!</definedName>
    <definedName name="Produtividade">#REF!</definedName>
    <definedName name="PSF_Campinas">'Plan. Auxiliar'!$N$3</definedName>
    <definedName name="PSU_Marília">'Plan. Auxiliar'!$S$4</definedName>
    <definedName name="Registro">'Plan. Auxiliar'!$Y$3:$Y$4</definedName>
    <definedName name="Ribeirão_Preto">'Plan. Auxiliar'!$Z$3:$Z$4</definedName>
    <definedName name="Roseira">'Plan. Auxiliar'!$AA$3</definedName>
    <definedName name="Santos">'Plan. Auxiliar'!$AB$3:$AB$4</definedName>
    <definedName name="São_José_do_Rio_Preto">'Plan. Auxiliar'!$AC$3:$AC$5</definedName>
    <definedName name="São_José_dos_Campos">'Plan. Auxiliar'!$AD$3:$AD$4</definedName>
    <definedName name="São_Paulo">'Plan. Auxiliar'!$AE$3:$AE$6</definedName>
    <definedName name="Sorocaba">'Plan. Auxiliar'!$AF$3</definedName>
    <definedName name="Taubaté">'Plan. Auxiliar'!$AG$3:$AG$4</definedName>
    <definedName name="Ubatuba">'Plan. Auxiliar'!$AH$3:$AH$6</definedName>
    <definedName name="Vargem">'Plan. Auxiliar'!$AI$3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31" l="1"/>
  <c r="L17" i="31"/>
  <c r="L50" i="31"/>
  <c r="L23" i="31" l="1"/>
  <c r="L21" i="31" l="1"/>
  <c r="L19" i="10"/>
  <c r="G41" i="3"/>
  <c r="H61" i="3" l="1"/>
  <c r="H62" i="3"/>
  <c r="H63" i="3"/>
  <c r="H64" i="3"/>
  <c r="H65" i="3"/>
  <c r="H66" i="3"/>
  <c r="H67" i="3"/>
  <c r="H68" i="3"/>
  <c r="H46" i="3"/>
  <c r="H47" i="3"/>
  <c r="H48" i="3"/>
  <c r="H49" i="3"/>
  <c r="H50" i="3"/>
  <c r="H51" i="3"/>
  <c r="H52" i="3"/>
  <c r="H53" i="3"/>
  <c r="H45" i="3"/>
  <c r="H60" i="3"/>
  <c r="H59" i="3"/>
  <c r="H54" i="3" l="1"/>
  <c r="H55" i="3" s="1"/>
  <c r="I118" i="31"/>
  <c r="I117" i="31"/>
  <c r="C111" i="31"/>
  <c r="C110" i="31"/>
  <c r="C109" i="31"/>
  <c r="C108" i="31"/>
  <c r="C107" i="31"/>
  <c r="L106" i="31"/>
  <c r="I97" i="31"/>
  <c r="I119" i="31" s="1"/>
  <c r="L91" i="31"/>
  <c r="K72" i="31"/>
  <c r="K71" i="31"/>
  <c r="K70" i="31"/>
  <c r="K69" i="31"/>
  <c r="K61" i="31"/>
  <c r="K60" i="31"/>
  <c r="K59" i="31"/>
  <c r="L52" i="31"/>
  <c r="C46" i="31"/>
  <c r="C45" i="31"/>
  <c r="K40" i="31"/>
  <c r="K42" i="31" s="1"/>
  <c r="K62" i="31" s="1"/>
  <c r="K28" i="31"/>
  <c r="K27" i="31"/>
  <c r="K29" i="31" s="1"/>
  <c r="L25" i="31"/>
  <c r="L22" i="31"/>
  <c r="L13" i="31"/>
  <c r="L15" i="31" l="1"/>
  <c r="L20" i="31"/>
  <c r="K30" i="31"/>
  <c r="I120" i="31"/>
  <c r="K73" i="31"/>
  <c r="K74" i="31" s="1"/>
  <c r="L69" i="31" l="1"/>
  <c r="L68" i="31"/>
  <c r="L107" i="31"/>
  <c r="L35" i="31"/>
  <c r="L27" i="31"/>
  <c r="L62" i="31"/>
  <c r="L61" i="31"/>
  <c r="L59" i="31"/>
  <c r="L41" i="31"/>
  <c r="L40" i="31"/>
  <c r="L78" i="31"/>
  <c r="L79" i="31" s="1"/>
  <c r="L83" i="31" s="1"/>
  <c r="L60" i="31"/>
  <c r="L28" i="31"/>
  <c r="L72" i="31"/>
  <c r="L37" i="31"/>
  <c r="L63" i="31"/>
  <c r="L38" i="31"/>
  <c r="L70" i="31"/>
  <c r="L36" i="31"/>
  <c r="L39" i="31"/>
  <c r="L34" i="31"/>
  <c r="L71" i="31"/>
  <c r="L42" i="31" l="1"/>
  <c r="L64" i="31"/>
  <c r="L109" i="31" s="1"/>
  <c r="L73" i="31"/>
  <c r="L54" i="31"/>
  <c r="L29" i="31"/>
  <c r="L30" i="31" l="1"/>
  <c r="L31" i="31" s="1"/>
  <c r="L74" i="31"/>
  <c r="L75" i="31"/>
  <c r="L82" i="31" s="1"/>
  <c r="L84" i="31" s="1"/>
  <c r="L110" i="31" s="1"/>
  <c r="F25" i="3"/>
  <c r="H24" i="3" s="1"/>
  <c r="L53" i="31" l="1"/>
  <c r="L56" i="31" s="1"/>
  <c r="L47" i="31"/>
  <c r="L45" i="10"/>
  <c r="E16" i="3"/>
  <c r="C17" i="3" s="1"/>
  <c r="L87" i="31" l="1"/>
  <c r="H69" i="3"/>
  <c r="H70" i="3" s="1"/>
  <c r="K70" i="10"/>
  <c r="K68" i="10"/>
  <c r="K67" i="10"/>
  <c r="K26" i="10"/>
  <c r="K69" i="10"/>
  <c r="K57" i="10"/>
  <c r="K58" i="10" s="1"/>
  <c r="E39" i="3"/>
  <c r="L88" i="31" l="1"/>
  <c r="L89" i="31" s="1"/>
  <c r="L111" i="31" s="1"/>
  <c r="L86" i="10"/>
  <c r="K71" i="10"/>
  <c r="K38" i="10" l="1"/>
  <c r="C44" i="10"/>
  <c r="C43" i="10"/>
  <c r="K25" i="10" l="1"/>
  <c r="L20" i="10"/>
  <c r="L13" i="10"/>
  <c r="L15" i="10" l="1"/>
  <c r="L18" i="10"/>
  <c r="K27" i="10"/>
  <c r="L21" i="10" l="1"/>
  <c r="L57" i="10" s="1"/>
  <c r="F33" i="3"/>
  <c r="G35" i="3" l="1"/>
  <c r="G36" i="3" s="1"/>
  <c r="L76" i="10"/>
  <c r="L25" i="10"/>
  <c r="L67" i="10"/>
  <c r="L26" i="10"/>
  <c r="L61" i="10"/>
  <c r="L70" i="10"/>
  <c r="L69" i="10"/>
  <c r="L37" i="10"/>
  <c r="L66" i="10"/>
  <c r="L68" i="10"/>
  <c r="L32" i="10"/>
  <c r="L58" i="10"/>
  <c r="K59" i="10"/>
  <c r="L59" i="10" s="1"/>
  <c r="L27" i="10" l="1"/>
  <c r="G40" i="3"/>
  <c r="L71" i="10"/>
  <c r="J84" i="13"/>
  <c r="J84" i="4"/>
  <c r="J84" i="14"/>
  <c r="J84" i="15"/>
  <c r="J84" i="18"/>
  <c r="J84" i="19"/>
  <c r="J84" i="21"/>
  <c r="J84" i="26"/>
  <c r="I95" i="13" l="1"/>
  <c r="I95" i="4"/>
  <c r="I95" i="14"/>
  <c r="I95" i="15"/>
  <c r="I95" i="18"/>
  <c r="I95" i="19"/>
  <c r="I95" i="21"/>
  <c r="I95" i="26"/>
  <c r="I95" i="10"/>
  <c r="C109" i="13"/>
  <c r="C109" i="4"/>
  <c r="C109" i="14"/>
  <c r="C109" i="15"/>
  <c r="C109" i="18"/>
  <c r="C109" i="19"/>
  <c r="C109" i="21"/>
  <c r="C109" i="26"/>
  <c r="C109" i="10"/>
  <c r="C108" i="13"/>
  <c r="C108" i="4"/>
  <c r="C108" i="14"/>
  <c r="C108" i="15"/>
  <c r="C108" i="18"/>
  <c r="C108" i="19"/>
  <c r="C108" i="21"/>
  <c r="C108" i="26"/>
  <c r="C108" i="10"/>
  <c r="C107" i="13"/>
  <c r="C107" i="4"/>
  <c r="C107" i="14"/>
  <c r="C107" i="15"/>
  <c r="C107" i="18"/>
  <c r="C107" i="19"/>
  <c r="C107" i="21"/>
  <c r="C107" i="26"/>
  <c r="C107" i="10"/>
  <c r="C106" i="13"/>
  <c r="C106" i="4"/>
  <c r="C106" i="14"/>
  <c r="C106" i="15"/>
  <c r="C106" i="18"/>
  <c r="C106" i="19"/>
  <c r="C106" i="21"/>
  <c r="C106" i="26"/>
  <c r="C106" i="10"/>
  <c r="C105" i="13"/>
  <c r="C105" i="4"/>
  <c r="C105" i="14"/>
  <c r="C105" i="15"/>
  <c r="C105" i="18"/>
  <c r="C105" i="19"/>
  <c r="C105" i="21"/>
  <c r="C105" i="26"/>
  <c r="C105" i="10"/>
  <c r="K67" i="13"/>
  <c r="K67" i="4"/>
  <c r="K67" i="14"/>
  <c r="K67" i="15"/>
  <c r="K67" i="18"/>
  <c r="K67" i="19"/>
  <c r="K67" i="21"/>
  <c r="K67" i="26"/>
  <c r="K64" i="13"/>
  <c r="K64" i="4"/>
  <c r="K64" i="14"/>
  <c r="K64" i="15"/>
  <c r="K64" i="18"/>
  <c r="K64" i="19"/>
  <c r="K64" i="21"/>
  <c r="K64" i="26"/>
  <c r="K59" i="13"/>
  <c r="K59" i="4"/>
  <c r="K59" i="14"/>
  <c r="K59" i="15"/>
  <c r="K59" i="18"/>
  <c r="K59" i="19"/>
  <c r="K59" i="21"/>
  <c r="K59" i="26"/>
  <c r="K54" i="13"/>
  <c r="K54" i="4"/>
  <c r="K54" i="14"/>
  <c r="K54" i="15"/>
  <c r="K54" i="18"/>
  <c r="K54" i="19"/>
  <c r="K54" i="21"/>
  <c r="K54" i="26"/>
  <c r="L47" i="13"/>
  <c r="L47" i="4"/>
  <c r="L47" i="14"/>
  <c r="L47" i="15"/>
  <c r="L47" i="18"/>
  <c r="L47" i="19"/>
  <c r="L47" i="21"/>
  <c r="L47" i="26"/>
  <c r="L50" i="10"/>
  <c r="L19" i="13"/>
  <c r="L19" i="4"/>
  <c r="L19" i="14"/>
  <c r="L19" i="15"/>
  <c r="L19" i="18"/>
  <c r="L19" i="19"/>
  <c r="L19" i="21"/>
  <c r="L19" i="26"/>
  <c r="L23" i="10"/>
  <c r="K23" i="13"/>
  <c r="K23" i="4"/>
  <c r="K23" i="14"/>
  <c r="K23" i="15"/>
  <c r="K23" i="18"/>
  <c r="K23" i="19"/>
  <c r="K23" i="21"/>
  <c r="K23" i="26"/>
  <c r="L10" i="26"/>
  <c r="L12" i="26" s="1"/>
  <c r="K32" i="26" l="1"/>
  <c r="K31" i="26"/>
  <c r="K32" i="21"/>
  <c r="K31" i="21"/>
  <c r="K32" i="19"/>
  <c r="K31" i="19"/>
  <c r="K32" i="18"/>
  <c r="K31" i="18"/>
  <c r="K32" i="15"/>
  <c r="K31" i="15"/>
  <c r="K32" i="14"/>
  <c r="K31" i="14"/>
  <c r="K32" i="4"/>
  <c r="K31" i="4"/>
  <c r="K32" i="13"/>
  <c r="K31" i="13"/>
  <c r="L7" i="26"/>
  <c r="K55" i="4" l="1"/>
  <c r="K56" i="4" s="1"/>
  <c r="K55" i="19"/>
  <c r="K56" i="19" s="1"/>
  <c r="K55" i="14"/>
  <c r="K56" i="14" s="1"/>
  <c r="K55" i="21"/>
  <c r="K56" i="21" s="1"/>
  <c r="K55" i="26"/>
  <c r="K56" i="26" s="1"/>
  <c r="K34" i="13"/>
  <c r="K58" i="13" s="1"/>
  <c r="K55" i="13"/>
  <c r="K56" i="13" s="1"/>
  <c r="K34" i="18"/>
  <c r="K58" i="18" s="1"/>
  <c r="K55" i="18"/>
  <c r="K56" i="18" s="1"/>
  <c r="K34" i="15"/>
  <c r="K58" i="15" s="1"/>
  <c r="K55" i="15"/>
  <c r="K56" i="15" s="1"/>
  <c r="K34" i="14"/>
  <c r="K58" i="14" s="1"/>
  <c r="K34" i="21"/>
  <c r="K58" i="21" s="1"/>
  <c r="K34" i="26"/>
  <c r="K58" i="26" s="1"/>
  <c r="K34" i="4"/>
  <c r="K58" i="4" s="1"/>
  <c r="K34" i="19"/>
  <c r="K58" i="19" s="1"/>
  <c r="L9" i="26"/>
  <c r="L11" i="26" s="1"/>
  <c r="L13" i="26" s="1"/>
  <c r="AI2" i="27"/>
  <c r="AH2" i="27"/>
  <c r="AG2" i="27"/>
  <c r="AF2" i="27"/>
  <c r="AE2" i="27"/>
  <c r="AD2" i="27"/>
  <c r="AC2" i="27"/>
  <c r="AB2" i="27"/>
  <c r="AA2" i="27"/>
  <c r="Z2" i="27"/>
  <c r="Y2" i="27"/>
  <c r="X2" i="27"/>
  <c r="W2" i="27"/>
  <c r="V2" i="27"/>
  <c r="U2" i="27"/>
  <c r="T2" i="27"/>
  <c r="S2" i="27"/>
  <c r="R2" i="27"/>
  <c r="Q2" i="27"/>
  <c r="P2" i="27"/>
  <c r="O2" i="27"/>
  <c r="N2" i="27"/>
  <c r="M2" i="27"/>
  <c r="L2" i="27"/>
  <c r="K2" i="27"/>
  <c r="J2" i="27"/>
  <c r="I2" i="27"/>
  <c r="H2" i="27"/>
  <c r="G2" i="27"/>
  <c r="F2" i="27"/>
  <c r="E2" i="27"/>
  <c r="D2" i="27"/>
  <c r="L17" i="26" l="1"/>
  <c r="I118" i="26"/>
  <c r="I117" i="26"/>
  <c r="L104" i="26"/>
  <c r="I119" i="26"/>
  <c r="L90" i="26"/>
  <c r="K66" i="26"/>
  <c r="K65" i="26"/>
  <c r="C43" i="26"/>
  <c r="C42" i="26"/>
  <c r="C41" i="26"/>
  <c r="C40" i="26"/>
  <c r="C39" i="26"/>
  <c r="C38" i="26"/>
  <c r="L37" i="26"/>
  <c r="C37" i="26"/>
  <c r="I118" i="21"/>
  <c r="I117" i="21"/>
  <c r="L104" i="21"/>
  <c r="I119" i="21"/>
  <c r="L90" i="21"/>
  <c r="K66" i="21"/>
  <c r="K65" i="21"/>
  <c r="C43" i="21"/>
  <c r="C42" i="21"/>
  <c r="C41" i="21"/>
  <c r="C40" i="21"/>
  <c r="C39" i="21"/>
  <c r="C38" i="21"/>
  <c r="L37" i="21"/>
  <c r="C37" i="21"/>
  <c r="L7" i="21"/>
  <c r="L17" i="21" s="1"/>
  <c r="I118" i="19"/>
  <c r="I117" i="19"/>
  <c r="L104" i="19"/>
  <c r="I119" i="19"/>
  <c r="L90" i="19"/>
  <c r="K66" i="19"/>
  <c r="K65" i="19"/>
  <c r="C43" i="19"/>
  <c r="C42" i="19"/>
  <c r="C41" i="19"/>
  <c r="C40" i="19"/>
  <c r="C39" i="19"/>
  <c r="C38" i="19"/>
  <c r="L37" i="19"/>
  <c r="C37" i="19"/>
  <c r="L7" i="19"/>
  <c r="L17" i="19" s="1"/>
  <c r="I118" i="18"/>
  <c r="I117" i="18"/>
  <c r="L104" i="18"/>
  <c r="I119" i="18"/>
  <c r="L90" i="18"/>
  <c r="K66" i="18"/>
  <c r="K65" i="18"/>
  <c r="C43" i="18"/>
  <c r="C42" i="18"/>
  <c r="C41" i="18"/>
  <c r="C40" i="18"/>
  <c r="C39" i="18"/>
  <c r="C38" i="18"/>
  <c r="L37" i="18"/>
  <c r="C37" i="18"/>
  <c r="L7" i="18"/>
  <c r="L17" i="18" s="1"/>
  <c r="B3" i="18"/>
  <c r="B3" i="19"/>
  <c r="B3" i="21"/>
  <c r="B3" i="26"/>
  <c r="L105" i="18" l="1"/>
  <c r="L105" i="19"/>
  <c r="L105" i="21"/>
  <c r="L105" i="26"/>
  <c r="L73" i="18"/>
  <c r="L74" i="18" s="1"/>
  <c r="L58" i="19"/>
  <c r="L73" i="19"/>
  <c r="L74" i="19" s="1"/>
  <c r="L73" i="21"/>
  <c r="L74" i="21" s="1"/>
  <c r="L58" i="26"/>
  <c r="L73" i="26"/>
  <c r="L74" i="26" s="1"/>
  <c r="L57" i="21"/>
  <c r="L59" i="21"/>
  <c r="L56" i="21"/>
  <c r="L58" i="21"/>
  <c r="L59" i="18"/>
  <c r="L57" i="18"/>
  <c r="L59" i="19"/>
  <c r="L57" i="19"/>
  <c r="L56" i="19"/>
  <c r="L57" i="26"/>
  <c r="L59" i="26"/>
  <c r="L56" i="26"/>
  <c r="L58" i="18"/>
  <c r="L56" i="18"/>
  <c r="L21" i="18"/>
  <c r="L22" i="18"/>
  <c r="L22" i="21"/>
  <c r="L21" i="21"/>
  <c r="L22" i="26"/>
  <c r="L21" i="26"/>
  <c r="L22" i="19"/>
  <c r="L21" i="19"/>
  <c r="I120" i="19"/>
  <c r="I120" i="21"/>
  <c r="L69" i="21"/>
  <c r="L33" i="21"/>
  <c r="L30" i="21"/>
  <c r="L26" i="21"/>
  <c r="L29" i="21"/>
  <c r="L27" i="21"/>
  <c r="L31" i="21"/>
  <c r="L28" i="21"/>
  <c r="L32" i="21"/>
  <c r="L69" i="19"/>
  <c r="L29" i="19"/>
  <c r="L30" i="19"/>
  <c r="L31" i="19"/>
  <c r="L28" i="19"/>
  <c r="L26" i="19"/>
  <c r="L27" i="19"/>
  <c r="L33" i="19"/>
  <c r="L32" i="19"/>
  <c r="L33" i="26"/>
  <c r="L30" i="26"/>
  <c r="L26" i="26"/>
  <c r="L29" i="26"/>
  <c r="L31" i="26"/>
  <c r="L28" i="26"/>
  <c r="L27" i="26"/>
  <c r="L32" i="26"/>
  <c r="L69" i="18"/>
  <c r="L31" i="18"/>
  <c r="L28" i="18"/>
  <c r="L29" i="18"/>
  <c r="L27" i="18"/>
  <c r="L33" i="18"/>
  <c r="L30" i="18"/>
  <c r="L26" i="18"/>
  <c r="L32" i="18"/>
  <c r="L69" i="26"/>
  <c r="L55" i="18"/>
  <c r="L55" i="26"/>
  <c r="L55" i="19"/>
  <c r="L55" i="21"/>
  <c r="I120" i="26"/>
  <c r="L65" i="26"/>
  <c r="L54" i="26"/>
  <c r="L67" i="26"/>
  <c r="L64" i="26"/>
  <c r="L66" i="26"/>
  <c r="L68" i="26"/>
  <c r="L65" i="21"/>
  <c r="L54" i="21"/>
  <c r="L67" i="21"/>
  <c r="L64" i="21"/>
  <c r="L66" i="21"/>
  <c r="L68" i="21"/>
  <c r="L67" i="19"/>
  <c r="L54" i="19"/>
  <c r="L64" i="19"/>
  <c r="L66" i="19"/>
  <c r="L68" i="19"/>
  <c r="L65" i="19"/>
  <c r="I120" i="18"/>
  <c r="L54" i="18"/>
  <c r="L64" i="18"/>
  <c r="L66" i="18"/>
  <c r="L68" i="18"/>
  <c r="L65" i="18"/>
  <c r="L67" i="18"/>
  <c r="L78" i="19" l="1"/>
  <c r="L78" i="26"/>
  <c r="L78" i="18"/>
  <c r="L78" i="21"/>
  <c r="L70" i="18"/>
  <c r="L77" i="18" s="1"/>
  <c r="L70" i="21"/>
  <c r="L77" i="21" s="1"/>
  <c r="L70" i="26"/>
  <c r="L77" i="26" s="1"/>
  <c r="L70" i="19"/>
  <c r="L77" i="19" s="1"/>
  <c r="L60" i="18"/>
  <c r="L107" i="18" s="1"/>
  <c r="L60" i="26"/>
  <c r="L107" i="26" s="1"/>
  <c r="L60" i="19"/>
  <c r="L107" i="19" s="1"/>
  <c r="L60" i="21"/>
  <c r="L107" i="21" s="1"/>
  <c r="L34" i="26"/>
  <c r="L34" i="19"/>
  <c r="L34" i="18"/>
  <c r="L34" i="21"/>
  <c r="L23" i="19"/>
  <c r="L48" i="19" s="1"/>
  <c r="L23" i="21"/>
  <c r="L48" i="21" s="1"/>
  <c r="L23" i="26"/>
  <c r="L48" i="26" s="1"/>
  <c r="L23" i="18"/>
  <c r="L48" i="18" s="1"/>
  <c r="L79" i="19" l="1"/>
  <c r="L108" i="19" s="1"/>
  <c r="L79" i="21"/>
  <c r="L108" i="21" s="1"/>
  <c r="L79" i="18"/>
  <c r="L108" i="18" s="1"/>
  <c r="L79" i="26"/>
  <c r="L108" i="26" s="1"/>
  <c r="L49" i="21"/>
  <c r="L76" i="21"/>
  <c r="L49" i="26"/>
  <c r="L76" i="26"/>
  <c r="L49" i="18"/>
  <c r="L76" i="18"/>
  <c r="L49" i="19"/>
  <c r="L76" i="19"/>
  <c r="I118" i="15" l="1"/>
  <c r="I117" i="15"/>
  <c r="L104" i="15"/>
  <c r="I119" i="15"/>
  <c r="L90" i="15"/>
  <c r="K66" i="15"/>
  <c r="K65" i="15"/>
  <c r="C43" i="15"/>
  <c r="C42" i="15"/>
  <c r="C41" i="15"/>
  <c r="C40" i="15"/>
  <c r="C39" i="15"/>
  <c r="C38" i="15"/>
  <c r="L37" i="15"/>
  <c r="C37" i="15"/>
  <c r="L7" i="15"/>
  <c r="L17" i="15" s="1"/>
  <c r="I118" i="14"/>
  <c r="I117" i="14"/>
  <c r="L104" i="14"/>
  <c r="I119" i="14"/>
  <c r="L90" i="14"/>
  <c r="K66" i="14"/>
  <c r="K65" i="14"/>
  <c r="C43" i="14"/>
  <c r="C42" i="14"/>
  <c r="C41" i="14"/>
  <c r="C40" i="14"/>
  <c r="C39" i="14"/>
  <c r="C38" i="14"/>
  <c r="L37" i="14"/>
  <c r="C37" i="14"/>
  <c r="L7" i="14"/>
  <c r="L17" i="14" s="1"/>
  <c r="I118" i="13"/>
  <c r="I117" i="13"/>
  <c r="L104" i="13"/>
  <c r="I119" i="13"/>
  <c r="L90" i="13"/>
  <c r="K66" i="13"/>
  <c r="K65" i="13"/>
  <c r="C43" i="13"/>
  <c r="C42" i="13"/>
  <c r="C41" i="13"/>
  <c r="C40" i="13"/>
  <c r="C39" i="13"/>
  <c r="C38" i="13"/>
  <c r="L37" i="13"/>
  <c r="C37" i="13"/>
  <c r="L7" i="13"/>
  <c r="L17" i="13" s="1"/>
  <c r="I116" i="10"/>
  <c r="I115" i="10"/>
  <c r="L104" i="10"/>
  <c r="I117" i="10"/>
  <c r="L89" i="10"/>
  <c r="L105" i="10" l="1"/>
  <c r="L105" i="13"/>
  <c r="L105" i="15"/>
  <c r="L105" i="14"/>
  <c r="L73" i="13"/>
  <c r="L74" i="13" s="1"/>
  <c r="L73" i="14"/>
  <c r="L74" i="14" s="1"/>
  <c r="L73" i="15"/>
  <c r="L74" i="15" s="1"/>
  <c r="L77" i="10"/>
  <c r="L57" i="14"/>
  <c r="L59" i="14"/>
  <c r="L56" i="14"/>
  <c r="L58" i="14"/>
  <c r="L59" i="13"/>
  <c r="L57" i="13"/>
  <c r="L56" i="13"/>
  <c r="L58" i="13"/>
  <c r="L57" i="15"/>
  <c r="L59" i="15"/>
  <c r="L56" i="15"/>
  <c r="L58" i="15"/>
  <c r="K40" i="10"/>
  <c r="L21" i="13"/>
  <c r="L22" i="13"/>
  <c r="L22" i="14"/>
  <c r="L21" i="14"/>
  <c r="L21" i="15"/>
  <c r="L22" i="15"/>
  <c r="I120" i="15"/>
  <c r="I120" i="13"/>
  <c r="L69" i="13"/>
  <c r="L33" i="13"/>
  <c r="L30" i="13"/>
  <c r="L26" i="13"/>
  <c r="L29" i="13"/>
  <c r="L27" i="13"/>
  <c r="L31" i="13"/>
  <c r="L28" i="13"/>
  <c r="L32" i="13"/>
  <c r="L69" i="14"/>
  <c r="L31" i="14"/>
  <c r="L28" i="14"/>
  <c r="L27" i="14"/>
  <c r="L29" i="14"/>
  <c r="L33" i="14"/>
  <c r="L30" i="14"/>
  <c r="L26" i="14"/>
  <c r="L32" i="14"/>
  <c r="L69" i="15"/>
  <c r="L30" i="15"/>
  <c r="L26" i="15"/>
  <c r="L33" i="15"/>
  <c r="L29" i="15"/>
  <c r="L28" i="15"/>
  <c r="L27" i="15"/>
  <c r="L31" i="15"/>
  <c r="L32" i="15"/>
  <c r="L38" i="10"/>
  <c r="L55" i="13"/>
  <c r="L66" i="14"/>
  <c r="L55" i="14"/>
  <c r="L68" i="14"/>
  <c r="L55" i="15"/>
  <c r="I118" i="10"/>
  <c r="L65" i="15"/>
  <c r="L67" i="15"/>
  <c r="L54" i="15"/>
  <c r="L64" i="15"/>
  <c r="L66" i="15"/>
  <c r="L68" i="15"/>
  <c r="I120" i="14"/>
  <c r="L54" i="14"/>
  <c r="L64" i="14"/>
  <c r="L65" i="14"/>
  <c r="L67" i="14"/>
  <c r="L54" i="13"/>
  <c r="L64" i="13"/>
  <c r="L66" i="13"/>
  <c r="L68" i="13"/>
  <c r="L65" i="13"/>
  <c r="L67" i="13"/>
  <c r="L35" i="10"/>
  <c r="L34" i="10"/>
  <c r="L36" i="10"/>
  <c r="L39" i="10"/>
  <c r="L33" i="10"/>
  <c r="B3" i="15"/>
  <c r="K72" i="10" l="1"/>
  <c r="K28" i="10"/>
  <c r="L28" i="10" s="1"/>
  <c r="L29" i="10" s="1"/>
  <c r="L51" i="10" s="1"/>
  <c r="K60" i="10"/>
  <c r="L60" i="10" s="1"/>
  <c r="L62" i="10" s="1"/>
  <c r="L72" i="10"/>
  <c r="L73" i="10" s="1"/>
  <c r="L40" i="10"/>
  <c r="L78" i="15"/>
  <c r="L78" i="14"/>
  <c r="L81" i="10"/>
  <c r="L78" i="13"/>
  <c r="L70" i="13"/>
  <c r="L77" i="13" s="1"/>
  <c r="L70" i="15"/>
  <c r="L77" i="15" s="1"/>
  <c r="L70" i="14"/>
  <c r="L77" i="14" s="1"/>
  <c r="L60" i="13"/>
  <c r="L107" i="13" s="1"/>
  <c r="L60" i="14"/>
  <c r="L107" i="14" s="1"/>
  <c r="L60" i="15"/>
  <c r="L107" i="15" s="1"/>
  <c r="L34" i="15"/>
  <c r="L34" i="14"/>
  <c r="L34" i="13"/>
  <c r="L23" i="13"/>
  <c r="L48" i="13" s="1"/>
  <c r="L23" i="14"/>
  <c r="L48" i="14" s="1"/>
  <c r="L23" i="15"/>
  <c r="L48" i="15" s="1"/>
  <c r="B3" i="14"/>
  <c r="B3" i="13"/>
  <c r="B3" i="4"/>
  <c r="L79" i="13" l="1"/>
  <c r="L108" i="13" s="1"/>
  <c r="L79" i="14"/>
  <c r="L108" i="14" s="1"/>
  <c r="L79" i="15"/>
  <c r="L108" i="15" s="1"/>
  <c r="L52" i="10"/>
  <c r="L49" i="15"/>
  <c r="L76" i="15"/>
  <c r="L49" i="13"/>
  <c r="L76" i="13"/>
  <c r="L49" i="14"/>
  <c r="L76" i="14"/>
  <c r="L107" i="10" l="1"/>
  <c r="L80" i="10"/>
  <c r="L82" i="10" s="1"/>
  <c r="L108" i="10" s="1"/>
  <c r="K65" i="4"/>
  <c r="C43" i="4"/>
  <c r="C42" i="4"/>
  <c r="C41" i="4"/>
  <c r="C40" i="4"/>
  <c r="C39" i="4"/>
  <c r="C38" i="4"/>
  <c r="C37" i="4"/>
  <c r="L37" i="4"/>
  <c r="B29" i="3"/>
  <c r="C29" i="3" s="1"/>
  <c r="G29" i="3" s="1"/>
  <c r="L7" i="4"/>
  <c r="L17" i="4" s="1"/>
  <c r="I118" i="4"/>
  <c r="I117" i="4"/>
  <c r="L104" i="4"/>
  <c r="I119" i="4"/>
  <c r="L90" i="4"/>
  <c r="K66" i="4"/>
  <c r="H17" i="3"/>
  <c r="L45" i="31" s="1"/>
  <c r="L44" i="10" l="1"/>
  <c r="L46" i="31"/>
  <c r="L55" i="31" s="1"/>
  <c r="L108" i="31" s="1"/>
  <c r="L112" i="31" s="1"/>
  <c r="L43" i="10"/>
  <c r="L105" i="4"/>
  <c r="L73" i="4"/>
  <c r="L74" i="4" s="1"/>
  <c r="L57" i="4"/>
  <c r="L59" i="4"/>
  <c r="L56" i="4"/>
  <c r="L58" i="4"/>
  <c r="L22" i="4"/>
  <c r="L21" i="4"/>
  <c r="L42" i="13"/>
  <c r="L41" i="4"/>
  <c r="L41" i="26"/>
  <c r="L41" i="21"/>
  <c r="L41" i="18"/>
  <c r="L41" i="19"/>
  <c r="L41" i="14"/>
  <c r="L41" i="15"/>
  <c r="L41" i="13"/>
  <c r="L38" i="4"/>
  <c r="L38" i="26"/>
  <c r="L38" i="21"/>
  <c r="L38" i="18"/>
  <c r="L38" i="19"/>
  <c r="L38" i="15"/>
  <c r="L38" i="13"/>
  <c r="L38" i="14"/>
  <c r="L43" i="26"/>
  <c r="L43" i="4"/>
  <c r="L43" i="19"/>
  <c r="L43" i="21"/>
  <c r="L43" i="18"/>
  <c r="L43" i="15"/>
  <c r="L43" i="14"/>
  <c r="L43" i="13"/>
  <c r="L27" i="4"/>
  <c r="L28" i="4"/>
  <c r="L33" i="4"/>
  <c r="L30" i="4"/>
  <c r="L26" i="4"/>
  <c r="L29" i="4"/>
  <c r="L31" i="4"/>
  <c r="L32" i="4"/>
  <c r="L39" i="4"/>
  <c r="L39" i="26"/>
  <c r="L39" i="18"/>
  <c r="L39" i="21"/>
  <c r="L39" i="19"/>
  <c r="L39" i="15"/>
  <c r="L39" i="14"/>
  <c r="L39" i="13"/>
  <c r="I120" i="4"/>
  <c r="L64" i="4"/>
  <c r="L65" i="4"/>
  <c r="L69" i="4"/>
  <c r="L55" i="4"/>
  <c r="L68" i="4"/>
  <c r="L66" i="4"/>
  <c r="L67" i="4"/>
  <c r="L54" i="4"/>
  <c r="L94" i="31" l="1"/>
  <c r="L92" i="31"/>
  <c r="L48" i="10"/>
  <c r="L53" i="10" s="1"/>
  <c r="L54" i="10" s="1"/>
  <c r="L42" i="15"/>
  <c r="L42" i="19"/>
  <c r="L42" i="4"/>
  <c r="L42" i="14"/>
  <c r="L42" i="18"/>
  <c r="L42" i="21"/>
  <c r="L42" i="26"/>
  <c r="L78" i="4"/>
  <c r="L60" i="4"/>
  <c r="L107" i="4" s="1"/>
  <c r="L70" i="4"/>
  <c r="L77" i="4" s="1"/>
  <c r="L34" i="4"/>
  <c r="L23" i="4"/>
  <c r="L48" i="4" s="1"/>
  <c r="L40" i="4"/>
  <c r="L40" i="18"/>
  <c r="L40" i="19"/>
  <c r="L45" i="19" s="1"/>
  <c r="L50" i="19" s="1"/>
  <c r="L51" i="19" s="1"/>
  <c r="L106" i="19" s="1"/>
  <c r="L40" i="26"/>
  <c r="L40" i="21"/>
  <c r="L40" i="13"/>
  <c r="L45" i="13" s="1"/>
  <c r="L50" i="13" s="1"/>
  <c r="L51" i="13" s="1"/>
  <c r="L106" i="13" s="1"/>
  <c r="L40" i="14"/>
  <c r="L40" i="15"/>
  <c r="L45" i="15" s="1"/>
  <c r="L82" i="4"/>
  <c r="L82" i="18"/>
  <c r="L82" i="19"/>
  <c r="L82" i="26"/>
  <c r="L82" i="21"/>
  <c r="L82" i="13"/>
  <c r="L82" i="14"/>
  <c r="L82" i="15"/>
  <c r="J95" i="31" l="1"/>
  <c r="L114" i="31" s="1"/>
  <c r="L85" i="10"/>
  <c r="L106" i="10"/>
  <c r="L45" i="14"/>
  <c r="L50" i="14" s="1"/>
  <c r="L51" i="14" s="1"/>
  <c r="L83" i="14" s="1"/>
  <c r="L45" i="4"/>
  <c r="L50" i="4" s="1"/>
  <c r="L83" i="13"/>
  <c r="L83" i="19"/>
  <c r="L79" i="4"/>
  <c r="L108" i="4" s="1"/>
  <c r="L49" i="4"/>
  <c r="L76" i="4"/>
  <c r="L50" i="15"/>
  <c r="L51" i="15" s="1"/>
  <c r="L45" i="26"/>
  <c r="L45" i="18"/>
  <c r="L45" i="21"/>
  <c r="L113" i="31" l="1"/>
  <c r="C9" i="29"/>
  <c r="J102" i="31"/>
  <c r="J98" i="31"/>
  <c r="J99" i="31"/>
  <c r="J101" i="31"/>
  <c r="J97" i="31"/>
  <c r="J100" i="31"/>
  <c r="L106" i="14"/>
  <c r="L84" i="19"/>
  <c r="L87" i="19" s="1"/>
  <c r="L109" i="19" s="1"/>
  <c r="L110" i="19" s="1"/>
  <c r="L84" i="14"/>
  <c r="L87" i="14" s="1"/>
  <c r="L109" i="14" s="1"/>
  <c r="L84" i="13"/>
  <c r="L87" i="13" s="1"/>
  <c r="L109" i="13" s="1"/>
  <c r="L110" i="13" s="1"/>
  <c r="L87" i="10"/>
  <c r="L109" i="10" s="1"/>
  <c r="L110" i="10" s="1"/>
  <c r="L83" i="15"/>
  <c r="L106" i="15"/>
  <c r="L51" i="4"/>
  <c r="L50" i="21"/>
  <c r="L51" i="21" s="1"/>
  <c r="L50" i="26"/>
  <c r="L51" i="26" s="1"/>
  <c r="L50" i="18"/>
  <c r="L51" i="18" s="1"/>
  <c r="L97" i="31" l="1"/>
  <c r="L103" i="31" s="1"/>
  <c r="L92" i="10"/>
  <c r="L90" i="10"/>
  <c r="L110" i="14"/>
  <c r="L92" i="14" s="1"/>
  <c r="L92" i="19"/>
  <c r="L91" i="19"/>
  <c r="L92" i="13"/>
  <c r="L91" i="13"/>
  <c r="L84" i="15"/>
  <c r="L87" i="15" s="1"/>
  <c r="L109" i="15" s="1"/>
  <c r="L110" i="15" s="1"/>
  <c r="L92" i="15" s="1"/>
  <c r="L83" i="4"/>
  <c r="L106" i="4"/>
  <c r="L83" i="26"/>
  <c r="L106" i="26"/>
  <c r="L83" i="18"/>
  <c r="L106" i="18"/>
  <c r="L83" i="21"/>
  <c r="L106" i="21"/>
  <c r="E9" i="29" l="1"/>
  <c r="F9" i="29" s="1"/>
  <c r="L91" i="14"/>
  <c r="J93" i="14" s="1"/>
  <c r="L112" i="14" s="1"/>
  <c r="J99" i="14" s="1"/>
  <c r="J93" i="19"/>
  <c r="L112" i="19" s="1"/>
  <c r="J99" i="19" s="1"/>
  <c r="J93" i="13"/>
  <c r="L112" i="13" s="1"/>
  <c r="J97" i="13" s="1"/>
  <c r="J93" i="10"/>
  <c r="L84" i="26"/>
  <c r="L87" i="26" s="1"/>
  <c r="L109" i="26" s="1"/>
  <c r="L110" i="26" s="1"/>
  <c r="L91" i="26" s="1"/>
  <c r="L84" i="21"/>
  <c r="L87" i="21" s="1"/>
  <c r="L109" i="21" s="1"/>
  <c r="L110" i="21" s="1"/>
  <c r="L92" i="21" s="1"/>
  <c r="L84" i="18"/>
  <c r="L87" i="18" s="1"/>
  <c r="L109" i="18" s="1"/>
  <c r="L110" i="18" s="1"/>
  <c r="L84" i="4"/>
  <c r="L87" i="4" s="1"/>
  <c r="L109" i="4" s="1"/>
  <c r="L110" i="4" s="1"/>
  <c r="L91" i="15"/>
  <c r="J93" i="15" s="1"/>
  <c r="L112" i="15" s="1"/>
  <c r="L112" i="10" l="1"/>
  <c r="C8" i="29" s="1"/>
  <c r="E8" i="29" s="1"/>
  <c r="F8" i="29" s="1"/>
  <c r="J97" i="19"/>
  <c r="J98" i="19"/>
  <c r="J96" i="19"/>
  <c r="L111" i="19"/>
  <c r="J95" i="19"/>
  <c r="J100" i="19"/>
  <c r="J96" i="13"/>
  <c r="J100" i="13"/>
  <c r="J95" i="13"/>
  <c r="J99" i="13"/>
  <c r="J96" i="14"/>
  <c r="L111" i="13"/>
  <c r="J98" i="13"/>
  <c r="J97" i="14"/>
  <c r="J100" i="14"/>
  <c r="L111" i="14"/>
  <c r="J98" i="14"/>
  <c r="J95" i="14"/>
  <c r="L92" i="26"/>
  <c r="J93" i="26" s="1"/>
  <c r="L112" i="26" s="1"/>
  <c r="J95" i="26" s="1"/>
  <c r="L91" i="21"/>
  <c r="J93" i="21" s="1"/>
  <c r="L112" i="21" s="1"/>
  <c r="J99" i="21" s="1"/>
  <c r="J95" i="15"/>
  <c r="L91" i="4"/>
  <c r="L92" i="4"/>
  <c r="L91" i="18"/>
  <c r="L92" i="18"/>
  <c r="J99" i="15"/>
  <c r="L111" i="15"/>
  <c r="J96" i="15"/>
  <c r="J98" i="15"/>
  <c r="J97" i="15"/>
  <c r="J100" i="15"/>
  <c r="L111" i="10" l="1"/>
  <c r="J97" i="10"/>
  <c r="J98" i="10"/>
  <c r="E10" i="29"/>
  <c r="F10" i="29"/>
  <c r="J100" i="10"/>
  <c r="J95" i="10"/>
  <c r="J96" i="10"/>
  <c r="J99" i="10"/>
  <c r="L95" i="19"/>
  <c r="L101" i="19" s="1"/>
  <c r="L95" i="13"/>
  <c r="L101" i="13" s="1"/>
  <c r="L111" i="21"/>
  <c r="J95" i="21"/>
  <c r="J96" i="21"/>
  <c r="J98" i="21"/>
  <c r="J97" i="21"/>
  <c r="J100" i="21"/>
  <c r="L95" i="14"/>
  <c r="L101" i="14" s="1"/>
  <c r="J97" i="26"/>
  <c r="J96" i="26"/>
  <c r="J93" i="18"/>
  <c r="L112" i="18" s="1"/>
  <c r="J96" i="18" s="1"/>
  <c r="J100" i="26"/>
  <c r="J98" i="26"/>
  <c r="L111" i="26"/>
  <c r="J99" i="26"/>
  <c r="J93" i="4"/>
  <c r="L112" i="4" s="1"/>
  <c r="J95" i="4" s="1"/>
  <c r="L95" i="15"/>
  <c r="L101" i="15" s="1"/>
  <c r="L95" i="10" l="1"/>
  <c r="L101" i="10" s="1"/>
  <c r="L95" i="21"/>
  <c r="L101" i="21" s="1"/>
  <c r="L111" i="18"/>
  <c r="J98" i="4"/>
  <c r="L111" i="4"/>
  <c r="J95" i="18"/>
  <c r="J100" i="18"/>
  <c r="J96" i="4"/>
  <c r="J97" i="18"/>
  <c r="J98" i="18"/>
  <c r="J100" i="4"/>
  <c r="J99" i="4"/>
  <c r="J99" i="18"/>
  <c r="L95" i="26"/>
  <c r="L101" i="26" s="1"/>
  <c r="J97" i="4"/>
  <c r="L95" i="4" l="1"/>
  <c r="L101" i="4" s="1"/>
  <c r="L95" i="18"/>
  <c r="L101" i="18" s="1"/>
</calcChain>
</file>

<file path=xl/comments1.xml><?xml version="1.0" encoding="utf-8"?>
<comments xmlns="http://schemas.openxmlformats.org/spreadsheetml/2006/main">
  <authors>
    <author/>
  </authors>
  <commentList>
    <comment ref="H38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8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</commentList>
</comments>
</file>

<file path=xl/comments10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2.xml><?xml version="1.0" encoding="utf-8"?>
<comments xmlns="http://schemas.openxmlformats.org/spreadsheetml/2006/main">
  <authors>
    <author>Alissa Iegoroff de Almeida</author>
    <author/>
  </authors>
  <commentList>
    <comment ref="L17" authorId="0" shapeId="0">
      <text>
        <r>
          <rPr>
            <sz val="9"/>
            <color indexed="81"/>
            <rFont val="Segoe UI"/>
            <family val="2"/>
          </rPr>
          <t xml:space="preserve">Calculo feito a partir da metodologia apresentada no Caderno Técnico </t>
        </r>
      </text>
    </comment>
    <comment ref="L18" authorId="0" shapeId="0">
      <text>
        <r>
          <rPr>
            <sz val="9"/>
            <color indexed="81"/>
            <rFont val="Segoe UI"/>
            <family val="2"/>
          </rPr>
          <t xml:space="preserve">Cálculo feito a partir da metologia apresentada no Caderno Técnico
</t>
        </r>
      </text>
    </comment>
    <comment ref="H40" authorId="1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40" authorId="1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</commentList>
</comments>
</file>

<file path=xl/comments3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4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5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6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7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8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9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sharedStrings.xml><?xml version="1.0" encoding="utf-8"?>
<sst xmlns="http://schemas.openxmlformats.org/spreadsheetml/2006/main" count="2086" uniqueCount="363">
  <si>
    <t>Órgão:</t>
  </si>
  <si>
    <t>Município</t>
  </si>
  <si>
    <t xml:space="preserve">Unidade: </t>
  </si>
  <si>
    <t>Outros (especificar)</t>
  </si>
  <si>
    <t>BENEFÍCIOS  MENSAIS E DIÁRIOS - Memória de cálculo</t>
  </si>
  <si>
    <t>CCT -  Data Base:</t>
  </si>
  <si>
    <t>F</t>
  </si>
  <si>
    <t>Valor em reais:</t>
  </si>
  <si>
    <t>Dias Uteis:</t>
  </si>
  <si>
    <t>Valor total diário:</t>
  </si>
  <si>
    <t>Valor total mensal:</t>
  </si>
  <si>
    <t>PLANILHA DE CUSTO E FORMAÇÃO DE PREÇOS</t>
  </si>
  <si>
    <t xml:space="preserve">MÓDULO 01 – Composição da Remuneração </t>
  </si>
  <si>
    <t>A</t>
  </si>
  <si>
    <t>Salário Base [Cláusula 2ª]</t>
  </si>
  <si>
    <t>B</t>
  </si>
  <si>
    <t>Adicional de Periculosidade</t>
  </si>
  <si>
    <t>CLT art.s 193 e segs ;CF art. 7º XXIII / Lei 12.740/2012</t>
  </si>
  <si>
    <t>%</t>
  </si>
  <si>
    <t>C</t>
  </si>
  <si>
    <t>Gratificação função líder</t>
  </si>
  <si>
    <t>D</t>
  </si>
  <si>
    <t xml:space="preserve">Gratificação </t>
  </si>
  <si>
    <t>E</t>
  </si>
  <si>
    <t>G</t>
  </si>
  <si>
    <t>H</t>
  </si>
  <si>
    <t>INSS</t>
  </si>
  <si>
    <t>SESI ou SESC</t>
  </si>
  <si>
    <t>SENAI ou SENAC</t>
  </si>
  <si>
    <t>INCRA</t>
  </si>
  <si>
    <t>Salário educação</t>
  </si>
  <si>
    <t>Seguro Acidente Trabalho (RAT x FAP):</t>
  </si>
  <si>
    <t>RAT=</t>
  </si>
  <si>
    <t>FAP=</t>
  </si>
  <si>
    <t>SEBRAE</t>
  </si>
  <si>
    <t>Aviso Prévio Indenizado (taxa de rotatividade)</t>
  </si>
  <si>
    <t>Incidência do FGTS sobre Aviso Prévio Indenizado</t>
  </si>
  <si>
    <t>% ocorrência</t>
  </si>
  <si>
    <t>Número de ausências por ano(dias)</t>
  </si>
  <si>
    <t>Licença paternidade (*)</t>
  </si>
  <si>
    <t>--</t>
  </si>
  <si>
    <t>Lucro</t>
  </si>
  <si>
    <t>Base de cálculo para os tributos</t>
  </si>
  <si>
    <t xml:space="preserve">Tributos </t>
  </si>
  <si>
    <t>Alíquota</t>
  </si>
  <si>
    <t xml:space="preserve">Tributos Federais </t>
  </si>
  <si>
    <t>PIS:</t>
  </si>
  <si>
    <t>COFINS:</t>
  </si>
  <si>
    <t>OUTROS:</t>
  </si>
  <si>
    <t xml:space="preserve">Tributos Municipais </t>
  </si>
  <si>
    <t>ISSQN:</t>
  </si>
  <si>
    <t>Outros tributos</t>
  </si>
  <si>
    <t>Total de Custos Indireto, Lucros e Tributos</t>
  </si>
  <si>
    <t>QUADRO RESUMO DO CUSTO POR EMPREGADO</t>
  </si>
  <si>
    <t>Mão-de-obra vinculada à execução contratual (valor por empregado)</t>
  </si>
  <si>
    <t>MÓDULO 05 – Custos Indireto, Tributos e Lucros</t>
  </si>
  <si>
    <t>Valor total proposto por empregado - mensal</t>
  </si>
  <si>
    <t>Cálculo do BDI</t>
  </si>
  <si>
    <t>ITENS</t>
  </si>
  <si>
    <t>Despesa Administrativa</t>
  </si>
  <si>
    <t>Aliquota total de tributos</t>
  </si>
  <si>
    <t>Fórmula</t>
  </si>
  <si>
    <t>SERVENTE</t>
  </si>
  <si>
    <t>Salário Base</t>
  </si>
  <si>
    <t>Item</t>
  </si>
  <si>
    <t>Custo unitário</t>
  </si>
  <si>
    <t>Uniformes  (custo mensal por empregado)</t>
  </si>
  <si>
    <t>Percentual sobre o custo direto:</t>
  </si>
  <si>
    <t>São Paulo</t>
  </si>
  <si>
    <t>ANATEL SP</t>
  </si>
  <si>
    <t>Municípios</t>
  </si>
  <si>
    <t>Aparecida</t>
  </si>
  <si>
    <t>Araçatuba</t>
  </si>
  <si>
    <t>Arujá</t>
  </si>
  <si>
    <t>Atibaia</t>
  </si>
  <si>
    <t>Barra do Turvo</t>
  </si>
  <si>
    <t>Bauru</t>
  </si>
  <si>
    <t>Caçapava</t>
  </si>
  <si>
    <t>Cachoeira Paulista</t>
  </si>
  <si>
    <t>Cajati</t>
  </si>
  <si>
    <t>Campinas</t>
  </si>
  <si>
    <t>Guaiçara</t>
  </si>
  <si>
    <t>Guarulhos</t>
  </si>
  <si>
    <t>Itapecerica da Serra</t>
  </si>
  <si>
    <t>Lavrinhas</t>
  </si>
  <si>
    <t>Marília</t>
  </si>
  <si>
    <t>Miracatu</t>
  </si>
  <si>
    <t>Osasco</t>
  </si>
  <si>
    <t>Ourinhos</t>
  </si>
  <si>
    <t>Piquete</t>
  </si>
  <si>
    <t>Piracicaba</t>
  </si>
  <si>
    <t>Presidente Prudente</t>
  </si>
  <si>
    <t>Registro</t>
  </si>
  <si>
    <t>Ribeirão Preto</t>
  </si>
  <si>
    <t>Roseira</t>
  </si>
  <si>
    <t>Santos</t>
  </si>
  <si>
    <t>São José do Rio Preto</t>
  </si>
  <si>
    <t>São José dos Campos</t>
  </si>
  <si>
    <t>Sorocaba</t>
  </si>
  <si>
    <t>Taubaté</t>
  </si>
  <si>
    <t>Ubatuba</t>
  </si>
  <si>
    <t>Vargem</t>
  </si>
  <si>
    <t>Del 08 Posto Aparecida</t>
  </si>
  <si>
    <t>PSF Araçatuba</t>
  </si>
  <si>
    <t>Del 03 Atibaia</t>
  </si>
  <si>
    <t>Del 03 Posto Atibaia</t>
  </si>
  <si>
    <t>Del 05 Posto Barra do Turvo</t>
  </si>
  <si>
    <t>PSU Bauru</t>
  </si>
  <si>
    <t>Del 06 Posto Caçapava</t>
  </si>
  <si>
    <t>Del 01 Posto Arujá</t>
  </si>
  <si>
    <t>CT Cachoeira Paulista</t>
  </si>
  <si>
    <t>Del 08 Cachoeira Paulista</t>
  </si>
  <si>
    <t>Del 05 Posto Cajatí</t>
  </si>
  <si>
    <t>PSF Campinas</t>
  </si>
  <si>
    <t>PSU Campinas</t>
  </si>
  <si>
    <t>Del 10 Posto Guaiçara</t>
  </si>
  <si>
    <t>Del 01 Guarulhos</t>
  </si>
  <si>
    <t>Del 01 Posto Guarulhos</t>
  </si>
  <si>
    <t>JARI Guarulhos</t>
  </si>
  <si>
    <t>PSF Guarulhos</t>
  </si>
  <si>
    <t>Del 04 Itapecerica</t>
  </si>
  <si>
    <t>Del 04 Posto Itapecerica</t>
  </si>
  <si>
    <t>Del 08 Posto Lavrinhas</t>
  </si>
  <si>
    <t>Del 10 Marília</t>
  </si>
  <si>
    <t>PSU Marília</t>
  </si>
  <si>
    <t>Del 04 Posto Miracatú I (antigo Juquitiba)</t>
  </si>
  <si>
    <t>Del 04 Posto Miracatú II</t>
  </si>
  <si>
    <t>PSF Osasco</t>
  </si>
  <si>
    <t>Del 10 Posto Ourinhos</t>
  </si>
  <si>
    <t>Del 08 Posto Piquete</t>
  </si>
  <si>
    <t>AGU Piraricaba</t>
  </si>
  <si>
    <t>PSF Presidente Prudente</t>
  </si>
  <si>
    <t>PSU Presidente Prudente</t>
  </si>
  <si>
    <t>Del 05 Posto Registro</t>
  </si>
  <si>
    <t>Del 05 Registro</t>
  </si>
  <si>
    <t>PSF Ribeirão Preto</t>
  </si>
  <si>
    <t>PSU Ribeirão Preto</t>
  </si>
  <si>
    <t>Del 06 Posto Roseira</t>
  </si>
  <si>
    <t>PSF Santos</t>
  </si>
  <si>
    <t>PSU Santos</t>
  </si>
  <si>
    <t>Del 09 Posto São J. do Rio Pret</t>
  </si>
  <si>
    <t>Del 09 São J. do Rio Preto</t>
  </si>
  <si>
    <t>AGU São José do Rio Preto</t>
  </si>
  <si>
    <t>Del 02 São J. dos Campos</t>
  </si>
  <si>
    <t>AGU São José dos Campos</t>
  </si>
  <si>
    <t>SEDE São Paulo</t>
  </si>
  <si>
    <t>Arquivo 9 de julho</t>
  </si>
  <si>
    <t>Arquivo Baceunas</t>
  </si>
  <si>
    <t>AGU Sorocaba</t>
  </si>
  <si>
    <t>Del 06 Taubaté</t>
  </si>
  <si>
    <t>PSF Taubaté</t>
  </si>
  <si>
    <t>Del 07 Posto Ubatuba</t>
  </si>
  <si>
    <t>Del 07 Ubatuba Alojamento</t>
  </si>
  <si>
    <t>Del 07 Ubatuba I</t>
  </si>
  <si>
    <t>Del 07 Ubatuba II</t>
  </si>
  <si>
    <t>Del 03 Posto Vargem</t>
  </si>
  <si>
    <t>Barra_do_Turvo</t>
  </si>
  <si>
    <t>Cachoeira_Paulista</t>
  </si>
  <si>
    <t>Itapecerica_da_Serra</t>
  </si>
  <si>
    <t>Presidente_Prudente</t>
  </si>
  <si>
    <t>Ribeirão_Preto</t>
  </si>
  <si>
    <t>São_José_do_Rio_Preto</t>
  </si>
  <si>
    <t>São_José_dos_Campos</t>
  </si>
  <si>
    <t>São_Paulo</t>
  </si>
  <si>
    <t>*Base de Cálculo:  Salário Base + 1/3 de Férias + 13º</t>
  </si>
  <si>
    <t>FGTS*  *Caderno Técnico SLTI/MPOG</t>
  </si>
  <si>
    <t>A'</t>
  </si>
  <si>
    <t>Salário utilidade – alimentação – Preencher somente se a empresa não for filiada ao PAT</t>
  </si>
  <si>
    <t>I</t>
  </si>
  <si>
    <t>Adicional Noturno</t>
  </si>
  <si>
    <t>Adicional de Hota Noturna Reduzida</t>
  </si>
  <si>
    <t>Adicional de Hora Extra no Feriado Trabalhado</t>
  </si>
  <si>
    <t>Adicional de Insalubridade</t>
  </si>
  <si>
    <t>MÓDULO 2 – ENCARGOS E BENEFÍCIOS ANUAIS, MENSAIS E DIÁRIOS</t>
  </si>
  <si>
    <t>Submódulo 2.1 - 13º Salário, Férias e Adicional de Férias</t>
  </si>
  <si>
    <t>13º Salário</t>
  </si>
  <si>
    <t>Férias e Adicional de Férias</t>
  </si>
  <si>
    <t>Total Submódulo 2.1</t>
  </si>
  <si>
    <t>VALOR (R$)</t>
  </si>
  <si>
    <t>Submódulo 2.2 - GPS, FGTS e Outras Contribuições</t>
  </si>
  <si>
    <t>???</t>
  </si>
  <si>
    <t>Total Submódulo 2.2</t>
  </si>
  <si>
    <t>Submódulo 2.3 - Benefícios Mensais e Diários</t>
  </si>
  <si>
    <t>MÓDULO 3 – PROVISÃO PARA RESCISÃO</t>
  </si>
  <si>
    <t>Total Submódulo 2.3</t>
  </si>
  <si>
    <t>QUADRO-RESUMO DO MÓDULO 2 - ENCARGOS, BENEFÍCIOS ANUAIS, MENSAIS E DIÁRIOS</t>
  </si>
  <si>
    <t>2.1</t>
  </si>
  <si>
    <t>2.2</t>
  </si>
  <si>
    <t>2.3</t>
  </si>
  <si>
    <t>13º Salário, Férias e Adicional de Férias</t>
  </si>
  <si>
    <t>GPS, FGTS e Outras Contribuições</t>
  </si>
  <si>
    <t>TOTAL DO MÓDULO 2</t>
  </si>
  <si>
    <t>Benefícios Mensais e Diários</t>
  </si>
  <si>
    <t>TOTAL DO MÓDULO 3</t>
  </si>
  <si>
    <t>Multa do FGTS e Contribuição Social sobre o Aviso Prévio Indenizado</t>
  </si>
  <si>
    <t>Incidência dos encargos do submódulo 2.2 sobre Aviso Prévio Trabalhado</t>
  </si>
  <si>
    <t xml:space="preserve">Aviso Prévio Trabalhado </t>
  </si>
  <si>
    <t xml:space="preserve">Multa do FGTS e Contribuição Social sobre o Aviso Prévio Trabalhado. </t>
  </si>
  <si>
    <t>MÓDULO 4 – CUSTO DE REPOSIÇÃO DO PROFISSIONAL AUSENTE</t>
  </si>
  <si>
    <t>Férias</t>
  </si>
  <si>
    <t>Ausências Legais</t>
  </si>
  <si>
    <t>Ausência por Acidente de Trabalho</t>
  </si>
  <si>
    <t>Afastamento Maternidade</t>
  </si>
  <si>
    <t>Submódulo 4.1 - Ausências Legais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</si>
  <si>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</si>
  <si>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</si>
  <si>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</si>
  <si>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</si>
  <si>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</si>
  <si>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4.1</t>
  </si>
  <si>
    <t>4.2</t>
  </si>
  <si>
    <t>Intrajornada</t>
  </si>
  <si>
    <t>TOTAL DO MÓDULO 4</t>
  </si>
  <si>
    <t>MÓDULO 5 – INSUMOS DIVERSOS</t>
  </si>
  <si>
    <t>Equipamentos</t>
  </si>
  <si>
    <t>Meteriais</t>
  </si>
  <si>
    <t>d</t>
  </si>
  <si>
    <t>MÓDULO 06 – Custos Indiretos, Tributos e Lucro</t>
  </si>
  <si>
    <t>Custos Indiretos</t>
  </si>
  <si>
    <t>TOTAL DO MÓDULO 5</t>
  </si>
  <si>
    <t>TOTAL DO MÓDULO 1</t>
  </si>
  <si>
    <t>Subtotal (A+B+C+D+E)</t>
  </si>
  <si>
    <t>B1</t>
  </si>
  <si>
    <t>(-) Desc. PIS/COFINS</t>
  </si>
  <si>
    <t xml:space="preserve">Cesta Básica: </t>
  </si>
  <si>
    <t xml:space="preserve">SUBTOTAL </t>
  </si>
  <si>
    <t xml:space="preserve">incidencia do submodulo 2.2 no submodulo 2.1 </t>
  </si>
  <si>
    <t>(não pode fornecer em dinheiro, só em vale ou em cesta)</t>
  </si>
  <si>
    <r>
      <rPr>
        <sz val="11"/>
        <color rgb="FFFF0000"/>
        <rFont val="Calibri"/>
        <family val="2"/>
        <scheme val="minor"/>
      </rPr>
      <t>Atenção</t>
    </r>
    <r>
      <rPr>
        <sz val="11"/>
        <color theme="1"/>
        <rFont val="Calibri"/>
        <family val="2"/>
        <scheme val="minor"/>
      </rPr>
      <t>: benefício devido apenas para os dias efetivamente trabalhados (faltas justificadas ou injustificadas não/ férias não)</t>
    </r>
  </si>
  <si>
    <t>Custos Indiretos (Despesa administrativa / Despesa operacional)</t>
  </si>
  <si>
    <t>Base de cálculo para o Lucro (Módulo 1 ao 5, mais os Custos Indiretos - Item acima)</t>
  </si>
  <si>
    <t xml:space="preserve">Salário Base [Cláusula 3ª] - </t>
  </si>
  <si>
    <r>
      <t xml:space="preserve">Adicional de Periculosidade     </t>
    </r>
    <r>
      <rPr>
        <sz val="11"/>
        <rFont val="Calibri"/>
        <family val="2"/>
        <scheme val="minor"/>
      </rPr>
      <t xml:space="preserve">      </t>
    </r>
  </si>
  <si>
    <r>
      <t xml:space="preserve">Adicional de Insalubridade          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             </t>
    </r>
  </si>
  <si>
    <r>
      <t xml:space="preserve">Adicional Noturno                                                      </t>
    </r>
    <r>
      <rPr>
        <sz val="11"/>
        <color rgb="FFFF0000"/>
        <rFont val="Calibri"/>
        <family val="2"/>
        <scheme val="minor"/>
      </rPr>
      <t xml:space="preserve"> </t>
    </r>
  </si>
  <si>
    <t xml:space="preserve">Adicional de Hota Noturna Reduzida                   </t>
  </si>
  <si>
    <r>
      <t xml:space="preserve">Adicional de Hora Extra no Feriado Trabalhado </t>
    </r>
    <r>
      <rPr>
        <sz val="11"/>
        <color rgb="FFFF0000"/>
        <rFont val="Calibri"/>
        <family val="2"/>
        <scheme val="minor"/>
      </rPr>
      <t xml:space="preserve"> </t>
    </r>
  </si>
  <si>
    <t>Câmpus Salto</t>
  </si>
  <si>
    <t>IFSP - Instituto Federal de Educação, Ciência e Tecnologia de São Paulo</t>
  </si>
  <si>
    <t>Salto/SP</t>
  </si>
  <si>
    <t>Submódulo 2.1 - 13º Salário e Adicional de Férias (pg. 94 dos Anexos IN 05/2017 - Anexo XII)</t>
  </si>
  <si>
    <t xml:space="preserve">13º Salário </t>
  </si>
  <si>
    <t xml:space="preserve">Adicional de Férias </t>
  </si>
  <si>
    <t xml:space="preserve">INSS  </t>
  </si>
  <si>
    <t xml:space="preserve">SESI ou SESC   </t>
  </si>
  <si>
    <t xml:space="preserve">SENAI ou SENAC </t>
  </si>
  <si>
    <t xml:space="preserve">INCRA  </t>
  </si>
  <si>
    <t xml:space="preserve">Salário educação  </t>
  </si>
  <si>
    <t>FGTS</t>
  </si>
  <si>
    <t xml:space="preserve">SEBRAE  </t>
  </si>
  <si>
    <t xml:space="preserve">CLÁUSULA SÉTIMA - CESTA BÁSICA </t>
  </si>
  <si>
    <t xml:space="preserve">Valor mensal: </t>
  </si>
  <si>
    <t>Total mensal</t>
  </si>
  <si>
    <t>Bilhetes por dia</t>
  </si>
  <si>
    <t>Dias no mês</t>
  </si>
  <si>
    <t>Valor da Tarifa</t>
  </si>
  <si>
    <t>Valor Mensal</t>
  </si>
  <si>
    <t>Desconto (6%)</t>
  </si>
  <si>
    <t>Trabalhou? (sim ou não)</t>
  </si>
  <si>
    <t>(valor devido, descontar o ticket do dia que já foi pago)</t>
  </si>
  <si>
    <t>Valor devido (se sim):</t>
  </si>
  <si>
    <t>Dia do Trabalhador (porteiro):</t>
  </si>
  <si>
    <t>CLÁUSULA QUINQUAGÉSIMA (CCT 2017) - DIA DO TRABALHADOR</t>
  </si>
  <si>
    <t>Multa do FGTS e contribuião social sobre o aviso previo indenizado e trabalhado</t>
  </si>
  <si>
    <t>Incidência dos encargos do submódulo 2.2 sobre o custo de reposição do profissional ausente</t>
  </si>
  <si>
    <t>SUBTOTAL</t>
  </si>
  <si>
    <t>Índice IBGE (5,96 dias/ano)</t>
  </si>
  <si>
    <t>% ocorrência (IBGE)</t>
  </si>
  <si>
    <r>
      <rPr>
        <b/>
        <sz val="11"/>
        <rFont val="Times New Roman"/>
        <family val="1"/>
      </rPr>
      <t>Observações</t>
    </r>
    <r>
      <rPr>
        <sz val="11"/>
        <rFont val="Times New Roman"/>
        <family val="1"/>
      </rPr>
      <t xml:space="preserve">: </t>
    </r>
  </si>
  <si>
    <t>Capa de chuva</t>
  </si>
  <si>
    <t>UNIFORME (por funcionário)</t>
  </si>
  <si>
    <t>Aviso Prévio Indenizado</t>
  </si>
  <si>
    <t>N° do pregão eletrônico:</t>
  </si>
  <si>
    <t>N° do processo:</t>
  </si>
  <si>
    <t>Data de apresentação da proposta</t>
  </si>
  <si>
    <t>Município/UF:</t>
  </si>
  <si>
    <t>N° de meses da execução contratual:</t>
  </si>
  <si>
    <t>Posto:</t>
  </si>
  <si>
    <t>Ano Acordo, Convenção ou Sentença Normativa em Dissídio Coletivo:</t>
  </si>
  <si>
    <t>Classificação Brasileira de Ocupações (CBO):</t>
  </si>
  <si>
    <t>Categoria profissional (vinculada à execução contratual):</t>
  </si>
  <si>
    <t>Serviço:</t>
  </si>
  <si>
    <t>IFSP - Câmpus Salto</t>
  </si>
  <si>
    <t>Salto</t>
  </si>
  <si>
    <t>QUADRO RESUMO</t>
  </si>
  <si>
    <t>Valor Proposto por Empregado</t>
  </si>
  <si>
    <t>ANEXO IV</t>
  </si>
  <si>
    <t>Desconto em %:</t>
  </si>
  <si>
    <t xml:space="preserve">Licença paternidade </t>
  </si>
  <si>
    <t>Cargo</t>
  </si>
  <si>
    <t>Quantidade de empregados</t>
  </si>
  <si>
    <t xml:space="preserve"> AUXÍLIO TRANSPORTE</t>
  </si>
  <si>
    <t>Valor Anual</t>
  </si>
  <si>
    <t>Valor Global:</t>
  </si>
  <si>
    <t>Calça</t>
  </si>
  <si>
    <t>Equipamentos de Proteção Individual - EPI (custo mensal por empregado)</t>
  </si>
  <si>
    <t>1. A planilha de custos elaborada é um modelo e os valores deverão ser preenchidos em conformidade com a CCT - Convenção coletiva de trabalho e índices de tributação de sua empresa, despesas previdenciárias e trabalhistas vigentes. Os percentuais/ índices definidos pela empresa deverão ser devidamente comprovados através de documentos ou memória de cálculo.</t>
  </si>
  <si>
    <t>Os percentuais em amarelo deverão ser preenchidos de acordo com os índicices de tributação de sua empresa e a legislação vigente.</t>
  </si>
  <si>
    <t>Os percentuais em amarelo deverão ser preenchidos de acordo com os índicices de tributação de sua empresa (GFIP/SEFIP)</t>
  </si>
  <si>
    <t>O ISSQN pode ser consultado através do site: https://www.salto.sp.gov.br/site/download/leis/Codigo_Tributario_Municipal-Lei_3.196_de_2013-Consolidada.pdf - Anexo I</t>
  </si>
  <si>
    <t>PISO SALARIAL MÍNIMO (vigilante):</t>
  </si>
  <si>
    <t>CLÁUSULA SÉTIMA - TÍQUETE REFEIÇÃO</t>
  </si>
  <si>
    <t>SEGURO DE VIDA</t>
  </si>
  <si>
    <t>CLÁUSULA TERCEIRA- DOS PISOS</t>
  </si>
  <si>
    <t>Crachá</t>
  </si>
  <si>
    <t>Camisa manga curta com emblema de identificação da empresa</t>
  </si>
  <si>
    <t>Camisa manga comprida com emblema de identificação da empresa</t>
  </si>
  <si>
    <t>Cinto de nylon</t>
  </si>
  <si>
    <t>Boné com emblema de identificação da empresa</t>
  </si>
  <si>
    <t>Jaqueta de frio ou japona com emblema de identificação da empresa</t>
  </si>
  <si>
    <t>Porta-cassetete</t>
  </si>
  <si>
    <t>Lanterna tipo farolete com bateria recarregável</t>
  </si>
  <si>
    <t>Apito com cordão</t>
  </si>
  <si>
    <t>Rádios comunicadores</t>
  </si>
  <si>
    <t>Aparelho de telefonia móvel com linha</t>
  </si>
  <si>
    <t>Guarda chuva</t>
  </si>
  <si>
    <t>MATERIAIS E EQUIPAMENTOS</t>
  </si>
  <si>
    <t>Vigilância patrimonial</t>
  </si>
  <si>
    <t>12h por 36h</t>
  </si>
  <si>
    <t>5173-30</t>
  </si>
  <si>
    <t>Vigilante (diurno)</t>
  </si>
  <si>
    <t>Vigilante (noturno)</t>
  </si>
  <si>
    <t>Vida útil (meses)</t>
  </si>
  <si>
    <t>Coturno</t>
  </si>
  <si>
    <t>Livro de ocorrências (com 200 páginas)</t>
  </si>
  <si>
    <t>Bastão Deggy com 12 bottons (pontos para ronda)</t>
  </si>
  <si>
    <t>Meias (pares)</t>
  </si>
  <si>
    <t xml:space="preserve">Cassetete </t>
  </si>
  <si>
    <t>Custo total mensal (por funcionário)</t>
  </si>
  <si>
    <t>Vigilante Diurno</t>
  </si>
  <si>
    <t>Vigilante Noturno</t>
  </si>
  <si>
    <t>Monitor de Segurança Eletrônica</t>
  </si>
  <si>
    <t>ASSISTÊNCIA MÉDICA E HOSPITALAR (CESTA BÁSICA SUPLEMENTAR)</t>
  </si>
  <si>
    <t>CLÁUSULA VIGÉSIMA - ASSISTÊNCIA MÉDICA E HOSPITALAR (CESTA BÁSICA SUPLEMENTAR)</t>
  </si>
  <si>
    <t>Quantidade (por funcionário)</t>
  </si>
  <si>
    <t>Quantidade</t>
  </si>
  <si>
    <t xml:space="preserve">Custo </t>
  </si>
  <si>
    <t xml:space="preserve">Custo total mensal </t>
  </si>
  <si>
    <t>Custo total mensal:</t>
  </si>
  <si>
    <t>Outros</t>
  </si>
  <si>
    <t>Indenização Intervalo Intrajornada (domingos/feriados)</t>
  </si>
  <si>
    <r>
      <rPr>
        <sz val="11"/>
        <color rgb="FFFF0000"/>
        <rFont val="Calibri"/>
        <family val="2"/>
        <scheme val="minor"/>
      </rPr>
      <t>Atenção</t>
    </r>
    <r>
      <rPr>
        <sz val="11"/>
        <color theme="1"/>
        <rFont val="Calibri"/>
        <family val="2"/>
        <scheme val="minor"/>
      </rPr>
      <t>: A indenização foi calculada apenas para os sábados (período noturno), domingos e feriados.</t>
    </r>
  </si>
  <si>
    <t>Feriados com data móvel: 4</t>
  </si>
  <si>
    <t>Feriados com data fixa: 14</t>
  </si>
  <si>
    <t>Probabilidade de que o feriado com data fixa não coincida com os domingos: 85.7% (6/7)</t>
  </si>
  <si>
    <t xml:space="preserve">CLÁUSULA  QUADRAGÉSIMA SEGUNDA - INDENIZAÇÃO INTERVALO INTRAJORNADA </t>
  </si>
  <si>
    <t>Valor intrajornada (diurno)</t>
  </si>
  <si>
    <t>Dias indenizados (diurno)</t>
  </si>
  <si>
    <t>Dias indenizados (noturno)</t>
  </si>
  <si>
    <t>NFNCD (Número de feriados não coincidentes com domingo): (14 x 0.8571) + 4 = 16 (dias/feriados) no ano ou 1.33 por mês</t>
  </si>
  <si>
    <t>Valor hora (vigilantes):</t>
  </si>
  <si>
    <t>Hora Extra:</t>
  </si>
  <si>
    <t>2 + 1.33 = 3.33</t>
  </si>
  <si>
    <t>4 + 1.33 = 5.33</t>
  </si>
  <si>
    <t>Valor intrajornada (noturno)</t>
  </si>
  <si>
    <t>Valor hora vigilante x 60% H.E.</t>
  </si>
  <si>
    <t>Valor H.E.</t>
  </si>
  <si>
    <t>Indenização Intervalo Intrajornada (sábados/domingos/feriados)</t>
  </si>
  <si>
    <t>23313.001421.2019-48</t>
  </si>
  <si>
    <t>2. Para a elaboração desta planilha foi utilizada a Convenção Coletiva de Trabalho da Sesvesp, vigência 2019/2020 - Anexo IV do Edital.</t>
  </si>
  <si>
    <r>
      <t xml:space="preserve">2. Para a elaboração desta planilha foi utilizada a Convenção Coletiva de Trabalho da Sesvesp, vigência 2019/2020 - </t>
    </r>
    <r>
      <rPr>
        <b/>
        <sz val="11"/>
        <color theme="0"/>
        <rFont val="Times New Roman"/>
        <family val="1"/>
      </rPr>
      <t xml:space="preserve"> </t>
    </r>
    <r>
      <rPr>
        <sz val="11"/>
        <rFont val="Times New Roman"/>
        <family val="1"/>
      </rPr>
      <t>Anexo IV do Edital.</t>
    </r>
  </si>
  <si>
    <t>02364/2019</t>
  </si>
  <si>
    <t>ANEXO IV - Planilha de Formação de Preço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</si>
</sst>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_-;\-* #,##0.00_-;_-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 R$ &quot;#,##0.00\ ;&quot; R$ (&quot;#,##0.00\);&quot; R$ -&quot;#\ ;@\ "/>
    <numFmt numFmtId="167" formatCode="&quot;R$ &quot;#,##0.00"/>
    <numFmt numFmtId="168" formatCode="&quot;R$&quot;\ #,##0.00"/>
    <numFmt numFmtId="169" formatCode="[$R$-416]\ #,##0.00;[Red]\-[$R$-416]\ #,##0.00"/>
    <numFmt numFmtId="170" formatCode="#,##0.0\ ;\-#,##0.0\ ;&quot; -&quot;#\ ;@\ "/>
    <numFmt numFmtId="171" formatCode="0.000%"/>
    <numFmt numFmtId="172" formatCode="0.00000%"/>
    <numFmt numFmtId="173" formatCode="#,##0.00\ ;\-#,##0.00\ ;&quot; -&quot;#.0\ ;@\ "/>
    <numFmt numFmtId="174" formatCode="&quot;R$ &quot;#,##0.00_);&quot;(R$ &quot;#,##0.00\)"/>
    <numFmt numFmtId="175" formatCode="0.0000%"/>
    <numFmt numFmtId="176" formatCode="_(&quot;R$ &quot;* #,##0.00_);_(&quot;R$ &quot;* \(#,##0.00\);_(&quot;R$ &quot;* &quot;-&quot;??_);_(@_)"/>
    <numFmt numFmtId="177" formatCode="_(* #,##0.00_);_(* \(#,##0.00\);_(* \-??_);_(@_)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9"/>
      <color indexed="8"/>
      <name val="Segoe U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10"/>
      <name val="Geneva"/>
      <family val="2"/>
    </font>
    <font>
      <sz val="11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</font>
    <font>
      <b/>
      <sz val="10"/>
      <color theme="1"/>
      <name val="Ecofont Vera Sans"/>
      <family val="2"/>
    </font>
    <font>
      <b/>
      <sz val="14"/>
      <name val="Calibri"/>
      <family val="2"/>
      <scheme val="minor"/>
    </font>
    <font>
      <sz val="11"/>
      <color theme="1"/>
      <name val="Calibri "/>
    </font>
    <font>
      <b/>
      <sz val="11"/>
      <color theme="1"/>
      <name val="Calibri "/>
    </font>
    <font>
      <b/>
      <sz val="11"/>
      <color theme="0"/>
      <name val="Times New Roman"/>
      <family val="1"/>
    </font>
    <font>
      <sz val="9"/>
      <color indexed="81"/>
      <name val="Segoe UI"/>
      <family val="2"/>
    </font>
  </fonts>
  <fills count="44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theme="0"/>
        <bgColor indexed="13"/>
      </patternFill>
    </fill>
    <fill>
      <patternFill patternType="solid">
        <fgColor theme="1"/>
        <bgColor indexed="2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rgb="FFFFC000"/>
        <bgColor indexed="26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0" tint="-0.14999847407452621"/>
        <bgColor indexed="41"/>
      </patternFill>
    </fill>
    <fill>
      <patternFill patternType="solid">
        <fgColor theme="0" tint="-0.14999847407452621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CC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13"/>
      </patternFill>
    </fill>
    <fill>
      <patternFill patternType="solid">
        <fgColor theme="7"/>
        <bgColor indexed="13"/>
      </patternFill>
    </fill>
    <fill>
      <patternFill patternType="solid">
        <fgColor rgb="FFFFFF00"/>
        <bgColor indexed="26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47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166" fontId="4" fillId="0" borderId="0" applyFill="0" applyBorder="0" applyAlignment="0" applyProtection="0"/>
    <xf numFmtId="0" fontId="19" fillId="0" borderId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38" fillId="0" borderId="0"/>
    <xf numFmtId="0" fontId="38" fillId="0" borderId="0"/>
    <xf numFmtId="0" fontId="38" fillId="0" borderId="0"/>
    <xf numFmtId="0" fontId="25" fillId="31" borderId="17" applyNumberFormat="0" applyAlignment="0" applyProtection="0"/>
    <xf numFmtId="0" fontId="25" fillId="31" borderId="17" applyNumberFormat="0" applyAlignment="0" applyProtection="0"/>
    <xf numFmtId="0" fontId="25" fillId="31" borderId="17" applyNumberFormat="0" applyAlignment="0" applyProtection="0"/>
    <xf numFmtId="0" fontId="25" fillId="31" borderId="17" applyNumberFormat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ill="0" applyBorder="0" applyAlignment="0" applyProtection="0"/>
    <xf numFmtId="165" fontId="4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7" fontId="4" fillId="0" borderId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65">
    <xf numFmtId="0" fontId="0" fillId="0" borderId="0" xfId="0"/>
    <xf numFmtId="0" fontId="0" fillId="0" borderId="13" xfId="0" applyFont="1" applyBorder="1" applyAlignment="1">
      <alignment horizontal="center" vertical="center" wrapText="1"/>
    </xf>
    <xf numFmtId="0" fontId="5" fillId="0" borderId="13" xfId="4" applyFont="1" applyBorder="1" applyAlignment="1">
      <alignment horizontal="center" vertical="center" wrapText="1"/>
    </xf>
    <xf numFmtId="168" fontId="0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7" xfId="0" applyBorder="1" applyAlignment="1">
      <alignment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6" xfId="0" applyBorder="1" applyAlignment="1">
      <alignment vertical="center"/>
    </xf>
    <xf numFmtId="168" fontId="0" fillId="6" borderId="0" xfId="0" applyNumberForma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5" fillId="0" borderId="9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/>
    </xf>
    <xf numFmtId="165" fontId="5" fillId="12" borderId="12" xfId="2" applyFont="1" applyFill="1" applyBorder="1" applyAlignment="1">
      <alignment horizontal="center" vertical="center" wrapText="1"/>
    </xf>
    <xf numFmtId="0" fontId="5" fillId="12" borderId="12" xfId="0" applyFont="1" applyFill="1" applyBorder="1" applyAlignment="1" applyProtection="1">
      <alignment horizontal="center" vertical="center"/>
    </xf>
    <xf numFmtId="165" fontId="5" fillId="8" borderId="12" xfId="2" applyFont="1" applyFill="1" applyBorder="1" applyAlignment="1">
      <alignment horizontal="center" vertical="center" wrapText="1"/>
    </xf>
    <xf numFmtId="170" fontId="5" fillId="0" borderId="12" xfId="0" applyNumberFormat="1" applyFont="1" applyFill="1" applyBorder="1" applyAlignment="1" applyProtection="1">
      <alignment horizontal="center" vertical="center"/>
      <protection locked="0"/>
    </xf>
    <xf numFmtId="10" fontId="5" fillId="2" borderId="12" xfId="3" applyNumberFormat="1" applyFont="1" applyFill="1" applyBorder="1" applyAlignment="1" applyProtection="1">
      <alignment horizontal="center" vertical="center"/>
    </xf>
    <xf numFmtId="165" fontId="5" fillId="0" borderId="12" xfId="2" applyFont="1" applyBorder="1" applyAlignment="1">
      <alignment horizontal="center" vertical="center" wrapText="1"/>
    </xf>
    <xf numFmtId="169" fontId="5" fillId="0" borderId="0" xfId="4" applyNumberFormat="1" applyFont="1" applyFill="1" applyBorder="1" applyAlignment="1">
      <alignment horizontal="center" vertical="center" wrapText="1"/>
    </xf>
    <xf numFmtId="10" fontId="3" fillId="2" borderId="12" xfId="3" applyNumberFormat="1" applyFont="1" applyFill="1" applyBorder="1" applyAlignment="1" applyProtection="1">
      <alignment horizontal="center" vertical="center"/>
    </xf>
    <xf numFmtId="165" fontId="9" fillId="0" borderId="0" xfId="2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vertical="center"/>
    </xf>
    <xf numFmtId="0" fontId="5" fillId="7" borderId="0" xfId="0" applyFont="1" applyFill="1" applyBorder="1" applyAlignment="1" applyProtection="1">
      <alignment horizontal="center" vertical="center"/>
    </xf>
    <xf numFmtId="165" fontId="5" fillId="0" borderId="0" xfId="2" applyFont="1"/>
    <xf numFmtId="165" fontId="5" fillId="2" borderId="12" xfId="2" applyFont="1" applyFill="1" applyBorder="1" applyAlignment="1" applyProtection="1">
      <alignment horizontal="center" vertical="center"/>
      <protection locked="0"/>
    </xf>
    <xf numFmtId="0" fontId="5" fillId="7" borderId="0" xfId="0" applyFont="1" applyFill="1" applyAlignment="1" applyProtection="1">
      <alignment vertical="center"/>
    </xf>
    <xf numFmtId="0" fontId="5" fillId="7" borderId="0" xfId="0" applyFont="1" applyFill="1" applyAlignment="1" applyProtection="1">
      <alignment horizontal="center" vertical="center"/>
    </xf>
    <xf numFmtId="170" fontId="5" fillId="7" borderId="0" xfId="0" applyNumberFormat="1" applyFont="1" applyFill="1" applyAlignment="1" applyProtection="1">
      <alignment vertical="center"/>
    </xf>
    <xf numFmtId="0" fontId="3" fillId="0" borderId="0" xfId="0" applyFont="1"/>
    <xf numFmtId="0" fontId="5" fillId="0" borderId="0" xfId="0" applyFont="1" applyAlignment="1">
      <alignment wrapText="1"/>
    </xf>
    <xf numFmtId="0" fontId="5" fillId="9" borderId="0" xfId="0" applyFont="1" applyFill="1" applyBorder="1" applyAlignment="1" applyProtection="1">
      <alignment vertical="center"/>
    </xf>
    <xf numFmtId="0" fontId="5" fillId="9" borderId="0" xfId="0" applyFont="1" applyFill="1" applyBorder="1" applyAlignment="1" applyProtection="1">
      <alignment horizontal="center" vertical="center"/>
    </xf>
    <xf numFmtId="10" fontId="12" fillId="2" borderId="12" xfId="0" applyNumberFormat="1" applyFont="1" applyFill="1" applyBorder="1" applyAlignment="1" applyProtection="1">
      <alignment horizontal="center" vertical="center"/>
      <protection locked="0"/>
    </xf>
    <xf numFmtId="165" fontId="5" fillId="0" borderId="12" xfId="2" applyFont="1" applyBorder="1" applyAlignment="1">
      <alignment horizontal="center" vertical="center"/>
    </xf>
    <xf numFmtId="0" fontId="13" fillId="0" borderId="0" xfId="0" applyFont="1"/>
    <xf numFmtId="0" fontId="5" fillId="7" borderId="12" xfId="0" applyFont="1" applyFill="1" applyBorder="1" applyAlignment="1" applyProtection="1">
      <alignment horizontal="left" vertical="center"/>
    </xf>
    <xf numFmtId="9" fontId="10" fillId="2" borderId="12" xfId="3" applyFont="1" applyFill="1" applyBorder="1" applyAlignment="1" applyProtection="1">
      <alignment horizontal="center" vertical="center"/>
      <protection locked="0"/>
    </xf>
    <xf numFmtId="10" fontId="12" fillId="0" borderId="12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170" fontId="5" fillId="0" borderId="0" xfId="0" applyNumberFormat="1" applyFont="1"/>
    <xf numFmtId="10" fontId="5" fillId="7" borderId="12" xfId="0" applyNumberFormat="1" applyFont="1" applyFill="1" applyBorder="1" applyAlignment="1" applyProtection="1">
      <alignment horizontal="center" vertical="center"/>
    </xf>
    <xf numFmtId="10" fontId="5" fillId="2" borderId="12" xfId="3" applyNumberFormat="1" applyFont="1" applyFill="1" applyBorder="1" applyAlignment="1" applyProtection="1">
      <alignment horizontal="center" vertical="center"/>
      <protection locked="0"/>
    </xf>
    <xf numFmtId="10" fontId="5" fillId="10" borderId="12" xfId="0" applyNumberFormat="1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10" fontId="14" fillId="2" borderId="12" xfId="3" applyNumberFormat="1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10" fontId="5" fillId="0" borderId="12" xfId="0" applyNumberFormat="1" applyFont="1" applyFill="1" applyBorder="1" applyAlignment="1" applyProtection="1">
      <alignment horizontal="center" vertical="center"/>
      <protection locked="0"/>
    </xf>
    <xf numFmtId="173" fontId="5" fillId="2" borderId="12" xfId="0" applyNumberFormat="1" applyFont="1" applyFill="1" applyBorder="1" applyAlignment="1" applyProtection="1">
      <alignment horizontal="center" vertical="center"/>
    </xf>
    <xf numFmtId="173" fontId="5" fillId="2" borderId="12" xfId="3" applyNumberFormat="1" applyFont="1" applyFill="1" applyBorder="1" applyAlignment="1" applyProtection="1">
      <alignment horizontal="center" vertical="center"/>
    </xf>
    <xf numFmtId="170" fontId="5" fillId="2" borderId="12" xfId="0" applyNumberFormat="1" applyFont="1" applyFill="1" applyBorder="1" applyAlignment="1" applyProtection="1">
      <alignment horizontal="center" vertical="center"/>
    </xf>
    <xf numFmtId="10" fontId="5" fillId="2" borderId="12" xfId="0" applyNumberFormat="1" applyFont="1" applyFill="1" applyBorder="1" applyAlignment="1" applyProtection="1">
      <alignment horizontal="center" vertical="center"/>
      <protection locked="0"/>
    </xf>
    <xf numFmtId="10" fontId="5" fillId="0" borderId="12" xfId="0" applyNumberFormat="1" applyFont="1" applyFill="1" applyBorder="1" applyAlignment="1" applyProtection="1">
      <alignment horizontal="center" vertical="center"/>
    </xf>
    <xf numFmtId="165" fontId="5" fillId="0" borderId="12" xfId="2" applyFont="1" applyBorder="1"/>
    <xf numFmtId="0" fontId="5" fillId="0" borderId="0" xfId="4" applyFont="1" applyFill="1" applyBorder="1" applyAlignment="1">
      <alignment horizontal="center" vertical="center" wrapText="1"/>
    </xf>
    <xf numFmtId="165" fontId="5" fillId="0" borderId="0" xfId="2" applyFont="1" applyFill="1" applyBorder="1" applyAlignment="1">
      <alignment horizontal="center" vertical="center" wrapText="1"/>
    </xf>
    <xf numFmtId="169" fontId="5" fillId="0" borderId="0" xfId="0" applyNumberFormat="1" applyFont="1"/>
    <xf numFmtId="0" fontId="5" fillId="7" borderId="0" xfId="0" applyFont="1" applyFill="1" applyProtection="1"/>
    <xf numFmtId="0" fontId="5" fillId="7" borderId="0" xfId="0" applyFont="1" applyFill="1" applyAlignment="1" applyProtection="1">
      <alignment horizontal="center"/>
    </xf>
    <xf numFmtId="170" fontId="5" fillId="7" borderId="0" xfId="0" applyNumberFormat="1" applyFont="1" applyFill="1" applyProtection="1"/>
    <xf numFmtId="165" fontId="5" fillId="0" borderId="12" xfId="2" applyFont="1" applyBorder="1" applyAlignment="1">
      <alignment horizontal="center"/>
    </xf>
    <xf numFmtId="165" fontId="12" fillId="0" borderId="12" xfId="2" applyFont="1" applyBorder="1" applyAlignment="1" applyProtection="1">
      <alignment horizontal="center" vertical="center"/>
    </xf>
    <xf numFmtId="0" fontId="9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left"/>
    </xf>
    <xf numFmtId="10" fontId="5" fillId="0" borderId="12" xfId="3" applyNumberFormat="1" applyFont="1" applyBorder="1"/>
    <xf numFmtId="0" fontId="5" fillId="12" borderId="12" xfId="0" applyFont="1" applyFill="1" applyBorder="1" applyAlignment="1" applyProtection="1">
      <alignment horizontal="center" vertical="center"/>
    </xf>
    <xf numFmtId="165" fontId="11" fillId="12" borderId="12" xfId="2" applyFont="1" applyFill="1" applyBorder="1" applyAlignment="1" applyProtection="1">
      <alignment horizontal="center" vertical="center"/>
    </xf>
    <xf numFmtId="165" fontId="12" fillId="12" borderId="12" xfId="2" applyFont="1" applyFill="1" applyBorder="1" applyAlignment="1" applyProtection="1">
      <alignment horizontal="center" vertical="center"/>
    </xf>
    <xf numFmtId="165" fontId="16" fillId="13" borderId="12" xfId="2" applyFont="1" applyFill="1" applyBorder="1" applyAlignment="1" applyProtection="1">
      <alignment horizontal="center" vertical="center" wrapText="1"/>
    </xf>
    <xf numFmtId="170" fontId="5" fillId="2" borderId="12" xfId="1" applyNumberFormat="1" applyFont="1" applyFill="1" applyBorder="1" applyAlignment="1" applyProtection="1">
      <alignment horizontal="center" vertical="center"/>
      <protection locked="0"/>
    </xf>
    <xf numFmtId="165" fontId="5" fillId="0" borderId="0" xfId="0" applyNumberFormat="1" applyFont="1"/>
    <xf numFmtId="10" fontId="9" fillId="2" borderId="12" xfId="3" applyNumberFormat="1" applyFont="1" applyFill="1" applyBorder="1" applyAlignment="1" applyProtection="1">
      <alignment horizontal="center" vertical="center"/>
      <protection locked="0"/>
    </xf>
    <xf numFmtId="0" fontId="12" fillId="7" borderId="12" xfId="0" applyFont="1" applyFill="1" applyBorder="1" applyAlignment="1" applyProtection="1">
      <alignment horizontal="center" vertical="center"/>
    </xf>
    <xf numFmtId="0" fontId="12" fillId="7" borderId="9" xfId="0" applyFont="1" applyFill="1" applyBorder="1" applyAlignment="1" applyProtection="1">
      <alignment horizontal="center" vertical="center"/>
    </xf>
    <xf numFmtId="0" fontId="12" fillId="7" borderId="12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 applyProtection="1">
      <alignment horizontal="left" vertical="center"/>
    </xf>
    <xf numFmtId="0" fontId="5" fillId="12" borderId="12" xfId="0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5" fillId="12" borderId="12" xfId="0" applyFont="1" applyFill="1" applyBorder="1" applyAlignment="1" applyProtection="1">
      <alignment horizontal="center" vertical="center"/>
    </xf>
    <xf numFmtId="10" fontId="5" fillId="0" borderId="0" xfId="3" applyNumberFormat="1" applyFont="1"/>
    <xf numFmtId="0" fontId="5" fillId="12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vertical="center"/>
    </xf>
    <xf numFmtId="0" fontId="5" fillId="0" borderId="12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horizontal="left" vertical="center"/>
    </xf>
    <xf numFmtId="0" fontId="5" fillId="3" borderId="9" xfId="0" applyFont="1" applyFill="1" applyBorder="1" applyAlignment="1" applyProtection="1">
      <alignment horizontal="left" vertical="center"/>
    </xf>
    <xf numFmtId="0" fontId="5" fillId="3" borderId="11" xfId="0" applyFont="1" applyFill="1" applyBorder="1" applyAlignment="1" applyProtection="1">
      <alignment horizontal="left" vertical="center"/>
    </xf>
    <xf numFmtId="0" fontId="5" fillId="3" borderId="9" xfId="0" applyFont="1" applyFill="1" applyBorder="1" applyAlignment="1" applyProtection="1">
      <alignment horizontal="right" vertical="center"/>
    </xf>
    <xf numFmtId="0" fontId="5" fillId="3" borderId="10" xfId="0" applyFont="1" applyFill="1" applyBorder="1" applyAlignment="1" applyProtection="1">
      <alignment horizontal="right" vertical="center"/>
    </xf>
    <xf numFmtId="0" fontId="5" fillId="3" borderId="11" xfId="0" applyFont="1" applyFill="1" applyBorder="1" applyAlignment="1" applyProtection="1">
      <alignment horizontal="right" vertical="center"/>
    </xf>
    <xf numFmtId="9" fontId="5" fillId="2" borderId="9" xfId="0" applyNumberFormat="1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171" fontId="5" fillId="7" borderId="12" xfId="0" applyNumberFormat="1" applyFont="1" applyFill="1" applyBorder="1" applyAlignment="1" applyProtection="1">
      <alignment horizontal="center" vertical="center"/>
    </xf>
    <xf numFmtId="0" fontId="5" fillId="6" borderId="12" xfId="0" applyFont="1" applyFill="1" applyBorder="1" applyAlignment="1" applyProtection="1">
      <alignment horizontal="center" vertical="center"/>
    </xf>
    <xf numFmtId="165" fontId="5" fillId="6" borderId="12" xfId="2" applyFont="1" applyFill="1" applyBorder="1" applyAlignment="1">
      <alignment horizontal="center" vertical="center" wrapText="1"/>
    </xf>
    <xf numFmtId="10" fontId="5" fillId="0" borderId="11" xfId="0" applyNumberFormat="1" applyFont="1" applyFill="1" applyBorder="1" applyAlignment="1" applyProtection="1">
      <alignment horizontal="center" vertical="center"/>
    </xf>
    <xf numFmtId="165" fontId="9" fillId="9" borderId="12" xfId="2" applyFont="1" applyFill="1" applyBorder="1" applyAlignment="1" applyProtection="1">
      <alignment horizontal="center" vertical="center"/>
    </xf>
    <xf numFmtId="10" fontId="9" fillId="7" borderId="12" xfId="0" applyNumberFormat="1" applyFont="1" applyFill="1" applyBorder="1" applyAlignment="1" applyProtection="1">
      <alignment horizontal="center" vertical="center"/>
    </xf>
    <xf numFmtId="165" fontId="9" fillId="0" borderId="12" xfId="2" applyFont="1" applyBorder="1" applyAlignment="1">
      <alignment horizontal="center" vertical="center" wrapText="1"/>
    </xf>
    <xf numFmtId="0" fontId="5" fillId="12" borderId="12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165" fontId="5" fillId="0" borderId="12" xfId="2" applyNumberFormat="1" applyFont="1" applyBorder="1" applyAlignment="1">
      <alignment horizontal="center" vertical="center" wrapText="1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5" fillId="12" borderId="12" xfId="0" applyFont="1" applyFill="1" applyBorder="1" applyAlignment="1" applyProtection="1">
      <alignment horizontal="center" vertical="center"/>
    </xf>
    <xf numFmtId="0" fontId="3" fillId="7" borderId="10" xfId="0" applyFont="1" applyFill="1" applyBorder="1" applyAlignment="1" applyProtection="1">
      <alignment horizontal="left" vertical="center"/>
    </xf>
    <xf numFmtId="10" fontId="5" fillId="0" borderId="0" xfId="0" applyNumberFormat="1" applyFont="1"/>
    <xf numFmtId="165" fontId="5" fillId="15" borderId="12" xfId="2" applyFont="1" applyFill="1" applyBorder="1" applyAlignment="1">
      <alignment horizontal="center" vertical="center" wrapText="1"/>
    </xf>
    <xf numFmtId="170" fontId="5" fillId="15" borderId="12" xfId="0" applyNumberFormat="1" applyFont="1" applyFill="1" applyBorder="1" applyAlignment="1" applyProtection="1">
      <alignment horizontal="center" vertical="center"/>
      <protection locked="0"/>
    </xf>
    <xf numFmtId="10" fontId="5" fillId="3" borderId="12" xfId="3" applyNumberFormat="1" applyFont="1" applyFill="1" applyBorder="1" applyAlignment="1" applyProtection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165" fontId="5" fillId="3" borderId="12" xfId="2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10" fontId="5" fillId="3" borderId="12" xfId="0" applyNumberFormat="1" applyFont="1" applyFill="1" applyBorder="1" applyAlignment="1" applyProtection="1">
      <alignment horizontal="center" vertical="center"/>
      <protection locked="0"/>
    </xf>
    <xf numFmtId="0" fontId="5" fillId="7" borderId="9" xfId="0" applyFont="1" applyFill="1" applyBorder="1" applyAlignment="1" applyProtection="1">
      <alignment horizontal="left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9" fillId="0" borderId="12" xfId="0" applyFont="1" applyBorder="1" applyAlignment="1">
      <alignment horizontal="center"/>
    </xf>
    <xf numFmtId="0" fontId="5" fillId="12" borderId="12" xfId="0" applyFont="1" applyFill="1" applyBorder="1" applyAlignment="1" applyProtection="1">
      <alignment horizontal="center" vertical="center"/>
    </xf>
    <xf numFmtId="0" fontId="0" fillId="0" borderId="12" xfId="0" applyBorder="1" applyAlignment="1">
      <alignment vertical="center"/>
    </xf>
    <xf numFmtId="0" fontId="5" fillId="14" borderId="12" xfId="0" applyFont="1" applyFill="1" applyBorder="1" applyAlignment="1" applyProtection="1">
      <alignment horizontal="left" vertical="center"/>
    </xf>
    <xf numFmtId="0" fontId="5" fillId="3" borderId="12" xfId="0" applyFont="1" applyFill="1" applyBorder="1" applyAlignment="1" applyProtection="1">
      <alignment horizontal="center" vertical="center"/>
    </xf>
    <xf numFmtId="10" fontId="9" fillId="3" borderId="12" xfId="3" applyNumberFormat="1" applyFont="1" applyFill="1" applyBorder="1" applyAlignment="1" applyProtection="1">
      <alignment horizontal="center" vertical="center"/>
    </xf>
    <xf numFmtId="0" fontId="5" fillId="3" borderId="12" xfId="4" applyFont="1" applyFill="1" applyBorder="1" applyAlignment="1">
      <alignment horizontal="center" vertical="center" wrapText="1"/>
    </xf>
    <xf numFmtId="167" fontId="5" fillId="3" borderId="12" xfId="5" applyNumberFormat="1" applyFont="1" applyFill="1" applyBorder="1" applyAlignment="1" applyProtection="1">
      <alignment horizontal="center" vertical="center" wrapText="1"/>
    </xf>
    <xf numFmtId="168" fontId="9" fillId="0" borderId="7" xfId="0" applyNumberFormat="1" applyFont="1" applyBorder="1" applyAlignment="1">
      <alignment horizontal="center" vertical="center"/>
    </xf>
    <xf numFmtId="164" fontId="20" fillId="0" borderId="12" xfId="0" applyNumberFormat="1" applyFont="1" applyBorder="1" applyAlignment="1">
      <alignment horizontal="center" vertical="center"/>
    </xf>
    <xf numFmtId="10" fontId="5" fillId="14" borderId="12" xfId="0" applyNumberFormat="1" applyFont="1" applyFill="1" applyBorder="1" applyAlignment="1" applyProtection="1">
      <alignment horizontal="center" vertical="center"/>
    </xf>
    <xf numFmtId="173" fontId="5" fillId="3" borderId="12" xfId="3" applyNumberFormat="1" applyFont="1" applyFill="1" applyBorder="1" applyAlignment="1" applyProtection="1">
      <alignment horizontal="center" vertical="center"/>
    </xf>
    <xf numFmtId="0" fontId="5" fillId="15" borderId="0" xfId="0" applyFont="1" applyFill="1"/>
    <xf numFmtId="165" fontId="5" fillId="9" borderId="10" xfId="0" applyNumberFormat="1" applyFont="1" applyFill="1" applyBorder="1" applyAlignment="1" applyProtection="1">
      <alignment vertical="center"/>
    </xf>
    <xf numFmtId="165" fontId="5" fillId="15" borderId="0" xfId="2" applyFont="1" applyFill="1"/>
    <xf numFmtId="175" fontId="5" fillId="0" borderId="12" xfId="0" applyNumberFormat="1" applyFont="1" applyFill="1" applyBorder="1" applyAlignment="1" applyProtection="1">
      <alignment horizontal="center" vertical="center"/>
      <protection locked="0"/>
    </xf>
    <xf numFmtId="171" fontId="5" fillId="0" borderId="12" xfId="0" applyNumberFormat="1" applyFont="1" applyFill="1" applyBorder="1" applyAlignment="1" applyProtection="1">
      <alignment horizontal="center" vertical="center"/>
      <protection locked="0"/>
    </xf>
    <xf numFmtId="0" fontId="5" fillId="7" borderId="9" xfId="0" applyFont="1" applyFill="1" applyBorder="1" applyAlignment="1" applyProtection="1">
      <alignment vertical="center"/>
    </xf>
    <xf numFmtId="0" fontId="5" fillId="7" borderId="10" xfId="0" applyFont="1" applyFill="1" applyBorder="1" applyAlignment="1" applyProtection="1">
      <alignment vertical="center"/>
    </xf>
    <xf numFmtId="0" fontId="5" fillId="7" borderId="11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 applyBorder="1"/>
    <xf numFmtId="0" fontId="9" fillId="0" borderId="0" xfId="0" applyFont="1" applyBorder="1" applyAlignment="1"/>
    <xf numFmtId="168" fontId="0" fillId="0" borderId="0" xfId="0" applyNumberFormat="1" applyFont="1" applyBorder="1" applyAlignment="1">
      <alignment horizontal="center" vertical="center" wrapText="1"/>
    </xf>
    <xf numFmtId="0" fontId="5" fillId="3" borderId="0" xfId="4" applyFont="1" applyFill="1" applyBorder="1" applyAlignment="1">
      <alignment horizontal="center" vertical="center" wrapText="1"/>
    </xf>
    <xf numFmtId="167" fontId="5" fillId="3" borderId="0" xfId="5" applyNumberFormat="1" applyFont="1" applyFill="1" applyBorder="1" applyAlignment="1" applyProtection="1">
      <alignment horizontal="center" vertical="center" wrapText="1"/>
    </xf>
    <xf numFmtId="167" fontId="9" fillId="0" borderId="0" xfId="5" applyNumberFormat="1" applyFont="1" applyFill="1" applyBorder="1" applyAlignment="1" applyProtection="1">
      <alignment horizontal="center" vertical="center" wrapText="1"/>
    </xf>
    <xf numFmtId="1" fontId="5" fillId="3" borderId="0" xfId="4" applyNumberFormat="1" applyFont="1" applyFill="1" applyBorder="1" applyAlignment="1">
      <alignment horizontal="center" vertical="center" wrapText="1"/>
    </xf>
    <xf numFmtId="0" fontId="43" fillId="0" borderId="0" xfId="0" applyFont="1" applyBorder="1" applyAlignment="1"/>
    <xf numFmtId="165" fontId="44" fillId="15" borderId="13" xfId="0" applyNumberFormat="1" applyFont="1" applyFill="1" applyBorder="1" applyAlignment="1" applyProtection="1">
      <alignment horizontal="center" vertical="center" wrapText="1"/>
      <protection hidden="1"/>
    </xf>
    <xf numFmtId="0" fontId="44" fillId="15" borderId="12" xfId="0" applyFont="1" applyFill="1" applyBorder="1" applyAlignment="1" applyProtection="1">
      <alignment horizontal="center" vertical="center" wrapText="1"/>
      <protection hidden="1"/>
    </xf>
    <xf numFmtId="165" fontId="44" fillId="0" borderId="12" xfId="0" applyNumberFormat="1" applyFont="1" applyBorder="1" applyAlignment="1">
      <alignment vertical="center"/>
    </xf>
    <xf numFmtId="165" fontId="45" fillId="39" borderId="12" xfId="0" applyNumberFormat="1" applyFont="1" applyFill="1" applyBorder="1"/>
    <xf numFmtId="0" fontId="17" fillId="0" borderId="34" xfId="0" applyFont="1" applyFill="1" applyBorder="1" applyAlignment="1">
      <alignment horizontal="center" vertical="center" wrapText="1"/>
    </xf>
    <xf numFmtId="174" fontId="0" fillId="0" borderId="35" xfId="2" applyNumberFormat="1" applyFont="1" applyFill="1" applyBorder="1" applyAlignment="1" applyProtection="1">
      <alignment horizontal="center" vertical="center" wrapText="1"/>
    </xf>
    <xf numFmtId="165" fontId="17" fillId="0" borderId="38" xfId="2" applyFont="1" applyFill="1" applyBorder="1" applyAlignment="1">
      <alignment horizontal="center" vertical="center" wrapText="1"/>
    </xf>
    <xf numFmtId="165" fontId="20" fillId="0" borderId="36" xfId="2" applyFont="1" applyFill="1" applyBorder="1" applyAlignment="1">
      <alignment vertical="center"/>
    </xf>
    <xf numFmtId="0" fontId="0" fillId="0" borderId="12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168" fontId="20" fillId="0" borderId="35" xfId="0" applyNumberFormat="1" applyFont="1" applyFill="1" applyBorder="1" applyAlignment="1">
      <alignment vertical="center"/>
    </xf>
    <xf numFmtId="168" fontId="20" fillId="0" borderId="36" xfId="0" applyNumberFormat="1" applyFont="1" applyFill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168" fontId="0" fillId="0" borderId="7" xfId="0" applyNumberFormat="1" applyBorder="1" applyAlignment="1">
      <alignment horizontal="center" vertical="center"/>
    </xf>
    <xf numFmtId="168" fontId="0" fillId="15" borderId="0" xfId="0" applyNumberFormat="1" applyFill="1" applyBorder="1" applyAlignment="1">
      <alignment horizontal="left" vertical="center"/>
    </xf>
    <xf numFmtId="10" fontId="5" fillId="41" borderId="12" xfId="3" applyNumberFormat="1" applyFont="1" applyFill="1" applyBorder="1" applyAlignment="1" applyProtection="1">
      <alignment horizontal="center" vertical="center"/>
      <protection locked="0"/>
    </xf>
    <xf numFmtId="165" fontId="5" fillId="42" borderId="12" xfId="2" applyFont="1" applyFill="1" applyBorder="1" applyAlignment="1" applyProtection="1">
      <alignment horizontal="center" vertical="center"/>
      <protection locked="0"/>
    </xf>
    <xf numFmtId="170" fontId="5" fillId="41" borderId="12" xfId="1" applyNumberFormat="1" applyFont="1" applyFill="1" applyBorder="1" applyAlignment="1" applyProtection="1">
      <alignment horizontal="center" vertical="center"/>
      <protection locked="0"/>
    </xf>
    <xf numFmtId="9" fontId="9" fillId="41" borderId="12" xfId="3" applyFont="1" applyFill="1" applyBorder="1" applyAlignment="1" applyProtection="1">
      <alignment horizontal="center" vertical="center"/>
      <protection locked="0"/>
    </xf>
    <xf numFmtId="168" fontId="0" fillId="0" borderId="9" xfId="2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vertical="center"/>
    </xf>
    <xf numFmtId="0" fontId="5" fillId="7" borderId="12" xfId="0" applyFont="1" applyFill="1" applyBorder="1" applyAlignment="1" applyProtection="1">
      <alignment horizontal="left" vertical="center"/>
    </xf>
    <xf numFmtId="0" fontId="5" fillId="9" borderId="0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5" fillId="7" borderId="9" xfId="0" applyFont="1" applyFill="1" applyBorder="1" applyAlignment="1" applyProtection="1">
      <alignment horizontal="left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horizontal="left" vertical="center"/>
    </xf>
    <xf numFmtId="0" fontId="12" fillId="7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0" fontId="0" fillId="15" borderId="0" xfId="0" applyFill="1" applyAlignment="1">
      <alignment vertical="center"/>
    </xf>
    <xf numFmtId="0" fontId="0" fillId="15" borderId="0" xfId="0" applyFill="1" applyAlignment="1">
      <alignment horizontal="center" vertical="center"/>
    </xf>
    <xf numFmtId="165" fontId="0" fillId="15" borderId="5" xfId="2" applyFont="1" applyFill="1" applyBorder="1" applyAlignment="1">
      <alignment horizontal="left" vertical="center"/>
    </xf>
    <xf numFmtId="168" fontId="0" fillId="15" borderId="7" xfId="0" applyNumberFormat="1" applyFill="1" applyBorder="1" applyAlignment="1">
      <alignment horizontal="left" vertical="center"/>
    </xf>
    <xf numFmtId="165" fontId="0" fillId="15" borderId="8" xfId="2" applyFont="1" applyFill="1" applyBorder="1" applyAlignment="1">
      <alignment horizontal="left" vertical="center"/>
    </xf>
    <xf numFmtId="168" fontId="0" fillId="15" borderId="7" xfId="0" applyNumberFormat="1" applyFill="1" applyBorder="1" applyAlignment="1">
      <alignment horizontal="center" vertical="center"/>
    </xf>
    <xf numFmtId="10" fontId="9" fillId="43" borderId="12" xfId="0" applyNumberFormat="1" applyFont="1" applyFill="1" applyBorder="1" applyAlignment="1" applyProtection="1">
      <alignment horizontal="center" vertical="center"/>
    </xf>
    <xf numFmtId="10" fontId="12" fillId="41" borderId="12" xfId="0" applyNumberFormat="1" applyFont="1" applyFill="1" applyBorder="1" applyAlignment="1" applyProtection="1">
      <alignment horizontal="center" vertical="center"/>
      <protection locked="0"/>
    </xf>
    <xf numFmtId="10" fontId="12" fillId="40" borderId="12" xfId="0" applyNumberFormat="1" applyFont="1" applyFill="1" applyBorder="1" applyAlignment="1" applyProtection="1">
      <alignment horizontal="center" vertical="center"/>
      <protection locked="0"/>
    </xf>
    <xf numFmtId="1" fontId="5" fillId="3" borderId="12" xfId="4" applyNumberFormat="1" applyFont="1" applyFill="1" applyBorder="1" applyAlignment="1">
      <alignment horizontal="center" vertical="center" wrapText="1"/>
    </xf>
    <xf numFmtId="3" fontId="0" fillId="0" borderId="12" xfId="2" applyNumberFormat="1" applyFont="1" applyFill="1" applyBorder="1" applyAlignment="1">
      <alignment horizontal="center" vertical="center"/>
    </xf>
    <xf numFmtId="3" fontId="0" fillId="15" borderId="12" xfId="2" applyNumberFormat="1" applyFont="1" applyFill="1" applyBorder="1" applyAlignment="1">
      <alignment horizontal="center" vertical="center"/>
    </xf>
    <xf numFmtId="3" fontId="0" fillId="15" borderId="15" xfId="2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7" fillId="15" borderId="12" xfId="0" applyFont="1" applyFill="1" applyBorder="1" applyAlignment="1">
      <alignment horizontal="center" vertical="center" wrapText="1"/>
    </xf>
    <xf numFmtId="0" fontId="17" fillId="15" borderId="33" xfId="0" applyFont="1" applyFill="1" applyBorder="1" applyAlignment="1">
      <alignment horizontal="center" vertical="center" wrapText="1"/>
    </xf>
    <xf numFmtId="3" fontId="0" fillId="15" borderId="12" xfId="2" applyNumberFormat="1" applyFont="1" applyFill="1" applyBorder="1" applyAlignment="1" applyProtection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174" fontId="0" fillId="15" borderId="12" xfId="2" applyNumberFormat="1" applyFont="1" applyFill="1" applyBorder="1" applyAlignment="1" applyProtection="1">
      <alignment horizontal="center" vertical="center" wrapText="1"/>
    </xf>
    <xf numFmtId="168" fontId="0" fillId="15" borderId="12" xfId="2" applyNumberFormat="1" applyFont="1" applyFill="1" applyBorder="1" applyAlignment="1">
      <alignment horizontal="center" vertical="center"/>
    </xf>
    <xf numFmtId="168" fontId="0" fillId="15" borderId="15" xfId="2" applyNumberFormat="1" applyFont="1" applyFill="1" applyBorder="1" applyAlignment="1">
      <alignment horizontal="center" vertical="center"/>
    </xf>
    <xf numFmtId="168" fontId="0" fillId="15" borderId="9" xfId="2" applyNumberFormat="1" applyFont="1" applyFill="1" applyBorder="1" applyAlignment="1">
      <alignment horizontal="center" vertical="center"/>
    </xf>
    <xf numFmtId="168" fontId="0" fillId="0" borderId="35" xfId="0" applyNumberFormat="1" applyFill="1" applyBorder="1" applyAlignment="1">
      <alignment horizontal="center" vertical="center"/>
    </xf>
    <xf numFmtId="0" fontId="0" fillId="15" borderId="2" xfId="0" applyFill="1" applyBorder="1" applyAlignment="1">
      <alignment vertical="center"/>
    </xf>
    <xf numFmtId="0" fontId="5" fillId="0" borderId="12" xfId="0" applyFont="1" applyBorder="1" applyAlignment="1">
      <alignment vertical="center"/>
    </xf>
    <xf numFmtId="168" fontId="5" fillId="15" borderId="12" xfId="0" applyNumberFormat="1" applyFont="1" applyFill="1" applyBorder="1" applyAlignment="1">
      <alignment horizontal="center" vertical="center"/>
    </xf>
    <xf numFmtId="0" fontId="5" fillId="15" borderId="12" xfId="0" applyFont="1" applyFill="1" applyBorder="1" applyAlignment="1">
      <alignment horizontal="center" vertical="center"/>
    </xf>
    <xf numFmtId="10" fontId="5" fillId="15" borderId="12" xfId="2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168" fontId="9" fillId="0" borderId="12" xfId="0" applyNumberFormat="1" applyFont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43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9" fontId="0" fillId="0" borderId="12" xfId="0" applyNumberForma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20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" fontId="5" fillId="3" borderId="11" xfId="4" applyNumberFormat="1" applyFont="1" applyFill="1" applyBorder="1" applyAlignment="1">
      <alignment horizontal="center" vertical="center" wrapText="1"/>
    </xf>
    <xf numFmtId="2" fontId="0" fillId="0" borderId="12" xfId="0" applyNumberFormat="1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164" fontId="0" fillId="0" borderId="15" xfId="0" applyNumberFormat="1" applyBorder="1" applyAlignment="1">
      <alignment horizontal="center" vertical="center"/>
    </xf>
    <xf numFmtId="167" fontId="9" fillId="0" borderId="11" xfId="5" applyNumberFormat="1" applyFont="1" applyFill="1" applyBorder="1" applyAlignment="1" applyProtection="1">
      <alignment vertical="center" wrapText="1"/>
    </xf>
    <xf numFmtId="164" fontId="20" fillId="0" borderId="11" xfId="0" applyNumberFormat="1" applyFont="1" applyBorder="1" applyAlignment="1">
      <alignment vertical="center"/>
    </xf>
    <xf numFmtId="167" fontId="9" fillId="0" borderId="9" xfId="5" applyNumberFormat="1" applyFont="1" applyFill="1" applyBorder="1" applyAlignment="1" applyProtection="1">
      <alignment horizontal="right" vertical="center" wrapText="1"/>
    </xf>
    <xf numFmtId="164" fontId="20" fillId="0" borderId="9" xfId="0" applyNumberFormat="1" applyFont="1" applyBorder="1" applyAlignment="1">
      <alignment horizontal="right" vertical="center"/>
    </xf>
    <xf numFmtId="165" fontId="5" fillId="15" borderId="12" xfId="2" quotePrefix="1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/>
    </xf>
    <xf numFmtId="165" fontId="5" fillId="0" borderId="12" xfId="2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 wrapText="1"/>
    </xf>
    <xf numFmtId="0" fontId="2" fillId="5" borderId="32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66" fontId="9" fillId="0" borderId="1" xfId="5" applyFont="1" applyFill="1" applyBorder="1" applyAlignment="1" applyProtection="1">
      <alignment horizontal="center" vertical="center" wrapText="1"/>
    </xf>
    <xf numFmtId="166" fontId="9" fillId="0" borderId="3" xfId="5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2" fillId="5" borderId="12" xfId="0" applyFont="1" applyFill="1" applyBorder="1" applyAlignment="1">
      <alignment horizontal="center" vertical="center"/>
    </xf>
    <xf numFmtId="167" fontId="9" fillId="0" borderId="12" xfId="5" applyNumberFormat="1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67" fontId="5" fillId="0" borderId="9" xfId="5" applyNumberFormat="1" applyFont="1" applyFill="1" applyBorder="1" applyAlignment="1" applyProtection="1">
      <alignment horizontal="center" vertical="center" wrapText="1"/>
    </xf>
    <xf numFmtId="167" fontId="5" fillId="0" borderId="11" xfId="5" applyNumberFormat="1" applyFont="1" applyFill="1" applyBorder="1" applyAlignment="1" applyProtection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164" fontId="0" fillId="0" borderId="12" xfId="0" applyNumberFormat="1" applyBorder="1" applyAlignment="1">
      <alignment horizontal="center" vertical="center"/>
    </xf>
    <xf numFmtId="9" fontId="0" fillId="0" borderId="12" xfId="0" applyNumberFormat="1" applyBorder="1" applyAlignment="1">
      <alignment horizontal="center" vertical="center"/>
    </xf>
    <xf numFmtId="0" fontId="0" fillId="15" borderId="29" xfId="0" applyFont="1" applyFill="1" applyBorder="1" applyAlignment="1">
      <alignment horizontal="center" vertical="center" wrapText="1"/>
    </xf>
    <xf numFmtId="0" fontId="0" fillId="15" borderId="10" xfId="0" applyFont="1" applyFill="1" applyBorder="1" applyAlignment="1">
      <alignment horizontal="center" vertical="center" wrapText="1"/>
    </xf>
    <xf numFmtId="0" fontId="0" fillId="15" borderId="11" xfId="0" applyFont="1" applyFill="1" applyBorder="1" applyAlignment="1">
      <alignment horizontal="center" vertical="center" wrapText="1"/>
    </xf>
    <xf numFmtId="0" fontId="17" fillId="15" borderId="27" xfId="0" applyFont="1" applyFill="1" applyBorder="1" applyAlignment="1">
      <alignment horizontal="right" vertical="center" wrapText="1"/>
    </xf>
    <xf numFmtId="0" fontId="17" fillId="15" borderId="28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4" fontId="0" fillId="0" borderId="0" xfId="0" applyNumberFormat="1" applyBorder="1" applyAlignment="1">
      <alignment horizontal="left" vertical="center"/>
    </xf>
    <xf numFmtId="14" fontId="0" fillId="0" borderId="5" xfId="0" applyNumberFormat="1" applyBorder="1" applyAlignment="1">
      <alignment horizontal="left" vertical="center"/>
    </xf>
    <xf numFmtId="14" fontId="0" fillId="0" borderId="7" xfId="0" applyNumberFormat="1" applyBorder="1" applyAlignment="1">
      <alignment horizontal="left" vertical="center"/>
    </xf>
    <xf numFmtId="14" fontId="0" fillId="0" borderId="8" xfId="0" applyNumberFormat="1" applyBorder="1" applyAlignment="1">
      <alignment horizontal="left" vertical="center"/>
    </xf>
    <xf numFmtId="0" fontId="0" fillId="0" borderId="26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39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2" fillId="5" borderId="44" xfId="0" applyFont="1" applyFill="1" applyBorder="1" applyAlignment="1">
      <alignment horizontal="center" vertical="center" wrapText="1"/>
    </xf>
    <xf numFmtId="0" fontId="2" fillId="5" borderId="45" xfId="0" applyFont="1" applyFill="1" applyBorder="1" applyAlignment="1">
      <alignment horizontal="center" vertical="center" wrapText="1"/>
    </xf>
    <xf numFmtId="0" fontId="2" fillId="5" borderId="46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37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horizontal="right" vertical="center" wrapText="1"/>
    </xf>
    <xf numFmtId="0" fontId="17" fillId="0" borderId="25" xfId="0" applyFont="1" applyFill="1" applyBorder="1" applyAlignment="1">
      <alignment horizontal="right" vertical="center" wrapText="1"/>
    </xf>
    <xf numFmtId="0" fontId="17" fillId="0" borderId="26" xfId="0" applyFont="1" applyFill="1" applyBorder="1" applyAlignment="1">
      <alignment horizontal="right" vertical="center" wrapText="1"/>
    </xf>
    <xf numFmtId="0" fontId="17" fillId="0" borderId="12" xfId="0" applyFont="1" applyFill="1" applyBorder="1" applyAlignment="1">
      <alignment horizontal="right" vertical="center" wrapText="1"/>
    </xf>
    <xf numFmtId="0" fontId="5" fillId="7" borderId="9" xfId="0" applyFont="1" applyFill="1" applyBorder="1" applyAlignment="1" applyProtection="1">
      <alignment horizontal="left" vertical="center" wrapText="1"/>
    </xf>
    <xf numFmtId="0" fontId="5" fillId="7" borderId="10" xfId="0" applyFont="1" applyFill="1" applyBorder="1" applyAlignment="1" applyProtection="1">
      <alignment horizontal="left" vertical="center" wrapText="1"/>
    </xf>
    <xf numFmtId="0" fontId="5" fillId="7" borderId="11" xfId="0" applyFont="1" applyFill="1" applyBorder="1" applyAlignment="1" applyProtection="1">
      <alignment horizontal="left" vertical="center" wrapText="1"/>
    </xf>
    <xf numFmtId="0" fontId="5" fillId="40" borderId="4" xfId="0" applyFont="1" applyFill="1" applyBorder="1" applyAlignment="1">
      <alignment horizontal="center" vertical="center" wrapText="1"/>
    </xf>
    <xf numFmtId="0" fontId="5" fillId="40" borderId="0" xfId="0" applyFont="1" applyFill="1" applyAlignment="1">
      <alignment horizontal="center" vertical="center" wrapText="1"/>
    </xf>
    <xf numFmtId="0" fontId="39" fillId="40" borderId="1" xfId="248" applyFont="1" applyFill="1" applyBorder="1" applyAlignment="1" applyProtection="1">
      <alignment horizontal="left" vertical="center" wrapText="1"/>
    </xf>
    <xf numFmtId="0" fontId="39" fillId="40" borderId="2" xfId="248" applyFont="1" applyFill="1" applyBorder="1" applyAlignment="1" applyProtection="1">
      <alignment horizontal="left" vertical="center" wrapText="1"/>
    </xf>
    <xf numFmtId="0" fontId="39" fillId="40" borderId="3" xfId="248" applyFont="1" applyFill="1" applyBorder="1" applyAlignment="1" applyProtection="1">
      <alignment horizontal="left" vertical="center" wrapText="1"/>
    </xf>
    <xf numFmtId="0" fontId="39" fillId="40" borderId="6" xfId="248" applyFont="1" applyFill="1" applyBorder="1" applyAlignment="1" applyProtection="1">
      <alignment horizontal="left" vertical="center" wrapText="1"/>
    </xf>
    <xf numFmtId="0" fontId="39" fillId="40" borderId="7" xfId="248" applyFont="1" applyFill="1" applyBorder="1" applyAlignment="1" applyProtection="1">
      <alignment horizontal="left" vertical="center" wrapText="1"/>
    </xf>
    <xf numFmtId="0" fontId="39" fillId="40" borderId="8" xfId="248" applyFont="1" applyFill="1" applyBorder="1" applyAlignment="1" applyProtection="1">
      <alignment horizontal="left" vertical="center" wrapText="1"/>
    </xf>
    <xf numFmtId="0" fontId="39" fillId="8" borderId="12" xfId="248" applyFont="1" applyFill="1" applyBorder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left" vertical="center"/>
    </xf>
    <xf numFmtId="172" fontId="5" fillId="9" borderId="0" xfId="0" applyNumberFormat="1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horizontal="center" vertical="center"/>
    </xf>
    <xf numFmtId="0" fontId="11" fillId="12" borderId="9" xfId="0" applyFont="1" applyFill="1" applyBorder="1" applyAlignment="1" applyProtection="1">
      <alignment horizontal="center" vertical="center"/>
    </xf>
    <xf numFmtId="0" fontId="11" fillId="12" borderId="10" xfId="0" applyFont="1" applyFill="1" applyBorder="1" applyAlignment="1" applyProtection="1">
      <alignment horizontal="center" vertical="center"/>
    </xf>
    <xf numFmtId="0" fontId="11" fillId="12" borderId="11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12" fillId="7" borderId="12" xfId="0" applyFont="1" applyFill="1" applyBorder="1" applyAlignment="1" applyProtection="1">
      <alignment horizontal="left" vertical="center"/>
    </xf>
    <xf numFmtId="165" fontId="5" fillId="0" borderId="9" xfId="2" applyFont="1" applyBorder="1" applyAlignment="1">
      <alignment horizontal="center" vertical="center"/>
    </xf>
    <xf numFmtId="165" fontId="5" fillId="0" borderId="10" xfId="2" applyFont="1" applyBorder="1" applyAlignment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9" fillId="7" borderId="9" xfId="0" applyFont="1" applyFill="1" applyBorder="1" applyAlignment="1" applyProtection="1">
      <alignment horizontal="center" vertical="center"/>
    </xf>
    <xf numFmtId="0" fontId="9" fillId="7" borderId="10" xfId="0" applyFont="1" applyFill="1" applyBorder="1" applyAlignment="1" applyProtection="1">
      <alignment horizontal="center" vertical="center"/>
    </xf>
    <xf numFmtId="0" fontId="9" fillId="7" borderId="11" xfId="0" applyFont="1" applyFill="1" applyBorder="1" applyAlignment="1" applyProtection="1">
      <alignment horizontal="center" vertical="center"/>
    </xf>
    <xf numFmtId="165" fontId="11" fillId="0" borderId="9" xfId="2" applyFont="1" applyBorder="1" applyAlignment="1" applyProtection="1">
      <alignment horizontal="center" vertical="center"/>
    </xf>
    <xf numFmtId="165" fontId="11" fillId="0" borderId="11" xfId="2" applyFont="1" applyBorder="1" applyAlignment="1" applyProtection="1">
      <alignment horizontal="center" vertical="center"/>
    </xf>
    <xf numFmtId="0" fontId="5" fillId="7" borderId="9" xfId="0" applyFont="1" applyFill="1" applyBorder="1" applyAlignment="1" applyProtection="1">
      <alignment horizontal="left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170" fontId="12" fillId="7" borderId="9" xfId="0" applyNumberFormat="1" applyFont="1" applyFill="1" applyBorder="1" applyAlignment="1" applyProtection="1">
      <alignment horizontal="center" vertical="center" wrapText="1"/>
    </xf>
    <xf numFmtId="170" fontId="12" fillId="7" borderId="11" xfId="0" applyNumberFormat="1" applyFont="1" applyFill="1" applyBorder="1" applyAlignment="1" applyProtection="1">
      <alignment horizontal="center" vertical="center" wrapText="1"/>
    </xf>
    <xf numFmtId="10" fontId="12" fillId="9" borderId="12" xfId="0" applyNumberFormat="1" applyFont="1" applyFill="1" applyBorder="1" applyAlignment="1" applyProtection="1">
      <alignment horizontal="center" vertical="center"/>
    </xf>
    <xf numFmtId="0" fontId="39" fillId="15" borderId="12" xfId="248" applyFont="1" applyFill="1" applyBorder="1" applyAlignment="1" applyProtection="1">
      <alignment horizontal="left" vertical="center" wrapText="1"/>
    </xf>
    <xf numFmtId="0" fontId="5" fillId="3" borderId="9" xfId="0" applyFont="1" applyFill="1" applyBorder="1" applyAlignment="1" applyProtection="1">
      <alignment horizontal="left" vertical="center"/>
    </xf>
    <xf numFmtId="0" fontId="5" fillId="3" borderId="10" xfId="0" applyFont="1" applyFill="1" applyBorder="1" applyAlignment="1" applyProtection="1">
      <alignment horizontal="left" vertical="center"/>
    </xf>
    <xf numFmtId="172" fontId="5" fillId="9" borderId="10" xfId="0" applyNumberFormat="1" applyFont="1" applyFill="1" applyBorder="1" applyAlignment="1" applyProtection="1">
      <alignment horizontal="center" vertical="center"/>
    </xf>
    <xf numFmtId="0" fontId="5" fillId="14" borderId="10" xfId="0" applyFont="1" applyFill="1" applyBorder="1" applyAlignment="1" applyProtection="1">
      <alignment horizontal="center" vertical="center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7" borderId="12" xfId="0" applyFont="1" applyFill="1" applyBorder="1" applyAlignment="1" applyProtection="1">
      <alignment vertical="center"/>
    </xf>
    <xf numFmtId="0" fontId="9" fillId="12" borderId="12" xfId="0" applyFont="1" applyFill="1" applyBorder="1" applyAlignment="1" applyProtection="1">
      <alignment horizontal="left" vertical="center"/>
    </xf>
    <xf numFmtId="0" fontId="15" fillId="13" borderId="12" xfId="0" applyFont="1" applyFill="1" applyBorder="1" applyAlignment="1" applyProtection="1">
      <alignment horizontal="left" vertical="center" wrapText="1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12" borderId="12" xfId="0" applyFont="1" applyFill="1" applyBorder="1" applyAlignment="1" applyProtection="1">
      <alignment horizontal="center" vertical="center"/>
    </xf>
    <xf numFmtId="0" fontId="2" fillId="4" borderId="12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left" vertical="center"/>
    </xf>
    <xf numFmtId="0" fontId="5" fillId="12" borderId="9" xfId="0" applyFont="1" applyFill="1" applyBorder="1" applyAlignment="1" applyProtection="1">
      <alignment horizontal="center" vertical="center"/>
    </xf>
    <xf numFmtId="0" fontId="5" fillId="12" borderId="10" xfId="0" applyFont="1" applyFill="1" applyBorder="1" applyAlignment="1" applyProtection="1">
      <alignment horizontal="center" vertical="center"/>
    </xf>
    <xf numFmtId="0" fontId="5" fillId="12" borderId="11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left" vertical="center"/>
    </xf>
    <xf numFmtId="0" fontId="9" fillId="0" borderId="9" xfId="0" applyFont="1" applyFill="1" applyBorder="1" applyAlignment="1" applyProtection="1">
      <alignment horizontal="left" vertical="center"/>
    </xf>
    <xf numFmtId="0" fontId="9" fillId="0" borderId="10" xfId="0" applyFont="1" applyFill="1" applyBorder="1" applyAlignment="1" applyProtection="1">
      <alignment horizontal="left" vertical="center"/>
    </xf>
    <xf numFmtId="0" fontId="9" fillId="0" borderId="11" xfId="0" applyFont="1" applyFill="1" applyBorder="1" applyAlignment="1" applyProtection="1">
      <alignment horizontal="left" vertical="center"/>
    </xf>
    <xf numFmtId="17" fontId="5" fillId="0" borderId="12" xfId="0" applyNumberFormat="1" applyFont="1" applyFill="1" applyBorder="1" applyAlignment="1" applyProtection="1">
      <alignment horizontal="center" vertical="center"/>
    </xf>
    <xf numFmtId="0" fontId="9" fillId="11" borderId="12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left" vertical="center"/>
    </xf>
    <xf numFmtId="0" fontId="5" fillId="0" borderId="10" xfId="0" applyFont="1" applyFill="1" applyBorder="1" applyAlignment="1" applyProtection="1">
      <alignment horizontal="left" vertical="center"/>
    </xf>
    <xf numFmtId="0" fontId="11" fillId="12" borderId="12" xfId="0" applyFont="1" applyFill="1" applyBorder="1" applyAlignment="1" applyProtection="1">
      <alignment horizontal="center" vertical="center"/>
    </xf>
    <xf numFmtId="0" fontId="5" fillId="7" borderId="10" xfId="0" applyFont="1" applyFill="1" applyBorder="1" applyAlignment="1" applyProtection="1">
      <alignment horizontal="center" vertical="center"/>
    </xf>
    <xf numFmtId="0" fontId="5" fillId="14" borderId="12" xfId="0" applyFont="1" applyFill="1" applyBorder="1" applyAlignment="1" applyProtection="1">
      <alignment horizontal="center" vertical="center"/>
    </xf>
    <xf numFmtId="0" fontId="5" fillId="14" borderId="12" xfId="0" applyFont="1" applyFill="1" applyBorder="1" applyAlignment="1" applyProtection="1">
      <alignment vertical="center"/>
    </xf>
    <xf numFmtId="0" fontId="5" fillId="14" borderId="9" xfId="0" applyFont="1" applyFill="1" applyBorder="1" applyAlignment="1" applyProtection="1">
      <alignment horizontal="left" vertical="center"/>
    </xf>
    <xf numFmtId="0" fontId="5" fillId="14" borderId="10" xfId="0" applyFont="1" applyFill="1" applyBorder="1" applyAlignment="1" applyProtection="1">
      <alignment horizontal="left" vertical="center"/>
    </xf>
    <xf numFmtId="0" fontId="5" fillId="14" borderId="11" xfId="0" applyFont="1" applyFill="1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horizontal="left" vertical="center"/>
    </xf>
    <xf numFmtId="0" fontId="9" fillId="9" borderId="12" xfId="0" applyFont="1" applyFill="1" applyBorder="1" applyAlignment="1" applyProtection="1">
      <alignment horizontal="center" vertical="center"/>
    </xf>
    <xf numFmtId="0" fontId="5" fillId="15" borderId="12" xfId="0" applyFont="1" applyFill="1" applyBorder="1" applyAlignment="1" applyProtection="1">
      <alignment horizontal="center" vertical="center"/>
    </xf>
    <xf numFmtId="0" fontId="5" fillId="40" borderId="1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3" borderId="11" xfId="0" applyFont="1" applyFill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left" vertical="center"/>
    </xf>
    <xf numFmtId="2" fontId="1" fillId="0" borderId="12" xfId="0" applyNumberFormat="1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/>
    </xf>
    <xf numFmtId="0" fontId="45" fillId="39" borderId="12" xfId="0" applyFont="1" applyFill="1" applyBorder="1" applyAlignment="1">
      <alignment horizontal="center" vertical="center"/>
    </xf>
    <xf numFmtId="0" fontId="45" fillId="38" borderId="15" xfId="0" applyFont="1" applyFill="1" applyBorder="1" applyAlignment="1" applyProtection="1">
      <alignment horizontal="center" vertical="center" wrapText="1"/>
      <protection hidden="1"/>
    </xf>
    <xf numFmtId="0" fontId="45" fillId="38" borderId="14" xfId="0" applyFont="1" applyFill="1" applyBorder="1" applyAlignment="1" applyProtection="1">
      <alignment horizontal="center" vertical="center" wrapText="1"/>
      <protection hidden="1"/>
    </xf>
    <xf numFmtId="0" fontId="45" fillId="38" borderId="13" xfId="0" applyFont="1" applyFill="1" applyBorder="1" applyAlignment="1" applyProtection="1">
      <alignment horizontal="center" vertical="center" wrapText="1"/>
      <protection hidden="1"/>
    </xf>
    <xf numFmtId="0" fontId="42" fillId="0" borderId="0" xfId="0" applyFont="1" applyBorder="1" applyAlignment="1" applyProtection="1">
      <alignment horizontal="center" vertical="center" wrapText="1"/>
      <protection hidden="1"/>
    </xf>
    <xf numFmtId="0" fontId="45" fillId="38" borderId="12" xfId="0" applyFont="1" applyFill="1" applyBorder="1" applyAlignment="1" applyProtection="1">
      <alignment horizontal="center" vertical="center" wrapText="1"/>
      <protection hidden="1"/>
    </xf>
    <xf numFmtId="0" fontId="44" fillId="15" borderId="9" xfId="0" applyFont="1" applyFill="1" applyBorder="1" applyAlignment="1" applyProtection="1">
      <alignment horizontal="center" vertical="center" wrapText="1"/>
      <protection hidden="1"/>
    </xf>
    <xf numFmtId="0" fontId="44" fillId="15" borderId="11" xfId="0" applyFont="1" applyFill="1" applyBorder="1" applyAlignment="1" applyProtection="1">
      <alignment horizontal="center" vertical="center" wrapText="1"/>
      <protection hidden="1"/>
    </xf>
    <xf numFmtId="0" fontId="44" fillId="0" borderId="9" xfId="0" applyFont="1" applyBorder="1" applyAlignment="1" applyProtection="1">
      <alignment horizontal="center" vertical="center" wrapText="1"/>
      <protection hidden="1"/>
    </xf>
    <xf numFmtId="0" fontId="44" fillId="0" borderId="11" xfId="0" applyFont="1" applyBorder="1" applyAlignment="1" applyProtection="1">
      <alignment horizontal="center" vertical="center" wrapText="1"/>
      <protection hidden="1"/>
    </xf>
    <xf numFmtId="0" fontId="45" fillId="39" borderId="12" xfId="0" applyFont="1" applyFill="1" applyBorder="1" applyAlignment="1" applyProtection="1">
      <alignment horizontal="center" vertical="center" wrapText="1"/>
      <protection hidden="1"/>
    </xf>
    <xf numFmtId="0" fontId="5" fillId="3" borderId="9" xfId="0" applyFont="1" applyFill="1" applyBorder="1" applyAlignment="1" applyProtection="1">
      <alignment horizontal="right" vertical="center"/>
    </xf>
    <xf numFmtId="0" fontId="5" fillId="3" borderId="10" xfId="0" applyFont="1" applyFill="1" applyBorder="1" applyAlignment="1" applyProtection="1">
      <alignment horizontal="right" vertical="center"/>
    </xf>
    <xf numFmtId="0" fontId="5" fillId="3" borderId="11" xfId="0" applyFont="1" applyFill="1" applyBorder="1" applyAlignment="1" applyProtection="1">
      <alignment horizontal="right" vertical="center"/>
    </xf>
    <xf numFmtId="10" fontId="5" fillId="2" borderId="9" xfId="0" applyNumberFormat="1" applyFont="1" applyFill="1" applyBorder="1" applyAlignment="1" applyProtection="1">
      <alignment horizontal="center" vertical="center"/>
    </xf>
    <xf numFmtId="10" fontId="5" fillId="2" borderId="11" xfId="0" applyNumberFormat="1" applyFont="1" applyFill="1" applyBorder="1" applyAlignment="1" applyProtection="1">
      <alignment horizontal="center" vertical="center"/>
    </xf>
    <xf numFmtId="0" fontId="12" fillId="7" borderId="12" xfId="0" applyFont="1" applyFill="1" applyBorder="1" applyAlignment="1" applyProtection="1">
      <alignment horizontal="center" vertical="center"/>
    </xf>
    <xf numFmtId="0" fontId="5" fillId="7" borderId="9" xfId="0" applyFont="1" applyFill="1" applyBorder="1" applyAlignment="1" applyProtection="1">
      <alignment horizontal="center" vertical="center"/>
    </xf>
    <xf numFmtId="0" fontId="5" fillId="7" borderId="11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0" fontId="5" fillId="7" borderId="12" xfId="0" quotePrefix="1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left" vertical="center"/>
    </xf>
    <xf numFmtId="10" fontId="12" fillId="2" borderId="9" xfId="0" applyNumberFormat="1" applyFont="1" applyFill="1" applyBorder="1" applyAlignment="1" applyProtection="1">
      <alignment horizontal="center" vertical="center"/>
      <protection locked="0"/>
    </xf>
    <xf numFmtId="10" fontId="12" fillId="2" borderId="1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9" fontId="5" fillId="2" borderId="9" xfId="0" applyNumberFormat="1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9" fillId="15" borderId="7" xfId="0" applyFont="1" applyFill="1" applyBorder="1" applyAlignment="1">
      <alignment horizontal="center"/>
    </xf>
  </cellXfs>
  <cellStyles count="347">
    <cellStyle name="20% - Ênfase1 2" xfId="7"/>
    <cellStyle name="20% - Ênfase1 2 2" xfId="8"/>
    <cellStyle name="20% - Ênfase1 2 2 2" xfId="9"/>
    <cellStyle name="20% - Ênfase1 2 3" xfId="10"/>
    <cellStyle name="20% - Ênfase1 3" xfId="11"/>
    <cellStyle name="20% - Ênfase1 3 2" xfId="12"/>
    <cellStyle name="20% - Ênfase1 3 2 2" xfId="13"/>
    <cellStyle name="20% - Ênfase1 3 3" xfId="14"/>
    <cellStyle name="20% - Ênfase2 2" xfId="15"/>
    <cellStyle name="20% - Ênfase2 2 2" xfId="16"/>
    <cellStyle name="20% - Ênfase2 2 2 2" xfId="17"/>
    <cellStyle name="20% - Ênfase2 2 3" xfId="18"/>
    <cellStyle name="20% - Ênfase2 3" xfId="19"/>
    <cellStyle name="20% - Ênfase2 3 2" xfId="20"/>
    <cellStyle name="20% - Ênfase2 3 2 2" xfId="21"/>
    <cellStyle name="20% - Ênfase2 3 3" xfId="22"/>
    <cellStyle name="20% - Ênfase3 2" xfId="23"/>
    <cellStyle name="20% - Ênfase3 2 2" xfId="24"/>
    <cellStyle name="20% - Ênfase3 2 2 2" xfId="25"/>
    <cellStyle name="20% - Ênfase3 2 3" xfId="26"/>
    <cellStyle name="20% - Ênfase3 3" xfId="27"/>
    <cellStyle name="20% - Ênfase3 3 2" xfId="28"/>
    <cellStyle name="20% - Ênfase3 3 2 2" xfId="29"/>
    <cellStyle name="20% - Ênfase3 3 3" xfId="30"/>
    <cellStyle name="20% - Ênfase4 2" xfId="31"/>
    <cellStyle name="20% - Ênfase4 2 2" xfId="32"/>
    <cellStyle name="20% - Ênfase4 2 2 2" xfId="33"/>
    <cellStyle name="20% - Ênfase4 2 3" xfId="34"/>
    <cellStyle name="20% - Ênfase4 3" xfId="35"/>
    <cellStyle name="20% - Ênfase4 3 2" xfId="36"/>
    <cellStyle name="20% - Ênfase4 3 2 2" xfId="37"/>
    <cellStyle name="20% - Ênfase4 3 3" xfId="38"/>
    <cellStyle name="20% - Ênfase5 2" xfId="39"/>
    <cellStyle name="20% - Ênfase5 2 2" xfId="40"/>
    <cellStyle name="20% - Ênfase5 2 2 2" xfId="41"/>
    <cellStyle name="20% - Ênfase5 2 3" xfId="42"/>
    <cellStyle name="20% - Ênfase5 3" xfId="43"/>
    <cellStyle name="20% - Ênfase5 3 2" xfId="44"/>
    <cellStyle name="20% - Ênfase5 3 2 2" xfId="45"/>
    <cellStyle name="20% - Ênfase5 3 3" xfId="46"/>
    <cellStyle name="20% - Ênfase6 2" xfId="47"/>
    <cellStyle name="20% - Ênfase6 2 2" xfId="48"/>
    <cellStyle name="20% - Ênfase6 2 2 2" xfId="49"/>
    <cellStyle name="20% - Ênfase6 2 3" xfId="50"/>
    <cellStyle name="20% - Ênfase6 3" xfId="51"/>
    <cellStyle name="20% - Ênfase6 3 2" xfId="52"/>
    <cellStyle name="20% - Ênfase6 3 2 2" xfId="53"/>
    <cellStyle name="20% - Ênfase6 3 3" xfId="54"/>
    <cellStyle name="40% - Ênfase1 2" xfId="55"/>
    <cellStyle name="40% - Ênfase1 2 2" xfId="56"/>
    <cellStyle name="40% - Ênfase1 2 2 2" xfId="57"/>
    <cellStyle name="40% - Ênfase1 2 3" xfId="58"/>
    <cellStyle name="40% - Ênfase1 3" xfId="59"/>
    <cellStyle name="40% - Ênfase1 3 2" xfId="60"/>
    <cellStyle name="40% - Ênfase1 3 2 2" xfId="61"/>
    <cellStyle name="40% - Ênfase1 3 3" xfId="62"/>
    <cellStyle name="40% - Ênfase2 2" xfId="63"/>
    <cellStyle name="40% - Ênfase2 2 2" xfId="64"/>
    <cellStyle name="40% - Ênfase2 2 2 2" xfId="65"/>
    <cellStyle name="40% - Ênfase2 2 3" xfId="66"/>
    <cellStyle name="40% - Ênfase2 3" xfId="67"/>
    <cellStyle name="40% - Ênfase2 3 2" xfId="68"/>
    <cellStyle name="40% - Ênfase2 3 2 2" xfId="69"/>
    <cellStyle name="40% - Ênfase2 3 3" xfId="70"/>
    <cellStyle name="40% - Ênfase3 2" xfId="71"/>
    <cellStyle name="40% - Ênfase3 2 2" xfId="72"/>
    <cellStyle name="40% - Ênfase3 2 2 2" xfId="73"/>
    <cellStyle name="40% - Ênfase3 2 3" xfId="74"/>
    <cellStyle name="40% - Ênfase3 3" xfId="75"/>
    <cellStyle name="40% - Ênfase3 3 2" xfId="76"/>
    <cellStyle name="40% - Ênfase3 3 2 2" xfId="77"/>
    <cellStyle name="40% - Ênfase3 3 3" xfId="78"/>
    <cellStyle name="40% - Ênfase4 2" xfId="79"/>
    <cellStyle name="40% - Ênfase4 2 2" xfId="80"/>
    <cellStyle name="40% - Ênfase4 2 2 2" xfId="81"/>
    <cellStyle name="40% - Ênfase4 2 3" xfId="82"/>
    <cellStyle name="40% - Ênfase4 3" xfId="83"/>
    <cellStyle name="40% - Ênfase4 3 2" xfId="84"/>
    <cellStyle name="40% - Ênfase4 3 2 2" xfId="85"/>
    <cellStyle name="40% - Ênfase4 3 3" xfId="86"/>
    <cellStyle name="40% - Ênfase5 2" xfId="87"/>
    <cellStyle name="40% - Ênfase5 2 2" xfId="88"/>
    <cellStyle name="40% - Ênfase5 2 2 2" xfId="89"/>
    <cellStyle name="40% - Ênfase5 2 3" xfId="90"/>
    <cellStyle name="40% - Ênfase5 3" xfId="91"/>
    <cellStyle name="40% - Ênfase5 3 2" xfId="92"/>
    <cellStyle name="40% - Ênfase5 3 2 2" xfId="93"/>
    <cellStyle name="40% - Ênfase5 3 3" xfId="94"/>
    <cellStyle name="40% - Ênfase6 2" xfId="95"/>
    <cellStyle name="40% - Ênfase6 2 2" xfId="96"/>
    <cellStyle name="40% - Ênfase6 2 2 2" xfId="97"/>
    <cellStyle name="40% - Ênfase6 2 3" xfId="98"/>
    <cellStyle name="40% - Ênfase6 3" xfId="99"/>
    <cellStyle name="40% - Ênfase6 3 2" xfId="100"/>
    <cellStyle name="40% - Ênfase6 3 2 2" xfId="101"/>
    <cellStyle name="40% - Ênfase6 3 3" xfId="102"/>
    <cellStyle name="60% - Ênfase1 2" xfId="103"/>
    <cellStyle name="60% - Ênfase1 2 2" xfId="104"/>
    <cellStyle name="60% - Ênfase1 3" xfId="105"/>
    <cellStyle name="60% - Ênfase1 3 2" xfId="106"/>
    <cellStyle name="60% - Ênfase2 2" xfId="107"/>
    <cellStyle name="60% - Ênfase2 2 2" xfId="108"/>
    <cellStyle name="60% - Ênfase2 3" xfId="109"/>
    <cellStyle name="60% - Ênfase2 3 2" xfId="110"/>
    <cellStyle name="60% - Ênfase3 2" xfId="111"/>
    <cellStyle name="60% - Ênfase3 2 2" xfId="112"/>
    <cellStyle name="60% - Ênfase3 3" xfId="113"/>
    <cellStyle name="60% - Ênfase3 3 2" xfId="114"/>
    <cellStyle name="60% - Ênfase4 2" xfId="115"/>
    <cellStyle name="60% - Ênfase4 2 2" xfId="116"/>
    <cellStyle name="60% - Ênfase4 3" xfId="117"/>
    <cellStyle name="60% - Ênfase4 3 2" xfId="118"/>
    <cellStyle name="60% - Ênfase5 2" xfId="119"/>
    <cellStyle name="60% - Ênfase5 2 2" xfId="120"/>
    <cellStyle name="60% - Ênfase5 3" xfId="121"/>
    <cellStyle name="60% - Ênfase5 3 2" xfId="122"/>
    <cellStyle name="60% - Ênfase6 2" xfId="123"/>
    <cellStyle name="60% - Ênfase6 2 2" xfId="124"/>
    <cellStyle name="60% - Ênfase6 3" xfId="125"/>
    <cellStyle name="60% - Ênfase6 3 2" xfId="126"/>
    <cellStyle name="Bom 2" xfId="127"/>
    <cellStyle name="Bom 2 2" xfId="128"/>
    <cellStyle name="Bom 3" xfId="129"/>
    <cellStyle name="Bom 3 2" xfId="130"/>
    <cellStyle name="Cálculo 2" xfId="131"/>
    <cellStyle name="Cálculo 2 2" xfId="132"/>
    <cellStyle name="Cálculo 2 2 2" xfId="133"/>
    <cellStyle name="Cálculo 2 3" xfId="134"/>
    <cellStyle name="Cálculo 3" xfId="135"/>
    <cellStyle name="Cálculo 3 2" xfId="136"/>
    <cellStyle name="Cálculo 3 2 2" xfId="137"/>
    <cellStyle name="Cálculo 3 3" xfId="138"/>
    <cellStyle name="Cancel" xfId="139"/>
    <cellStyle name="Cancel 2" xfId="140"/>
    <cellStyle name="Cancel 3" xfId="141"/>
    <cellStyle name="Célula de Verificação 2" xfId="142"/>
    <cellStyle name="Célula de Verificação 2 2" xfId="143"/>
    <cellStyle name="Célula de Verificação 3" xfId="144"/>
    <cellStyle name="Célula de Verificação 3 2" xfId="145"/>
    <cellStyle name="Célula Vinculada 2" xfId="146"/>
    <cellStyle name="Célula Vinculada 2 2" xfId="147"/>
    <cellStyle name="Célula Vinculada 3" xfId="148"/>
    <cellStyle name="Célula Vinculada 3 2" xfId="149"/>
    <cellStyle name="Ênfase1 2" xfId="150"/>
    <cellStyle name="Ênfase1 2 2" xfId="151"/>
    <cellStyle name="Ênfase1 3" xfId="152"/>
    <cellStyle name="Ênfase1 3 2" xfId="153"/>
    <cellStyle name="Ênfase2 2" xfId="154"/>
    <cellStyle name="Ênfase2 2 2" xfId="155"/>
    <cellStyle name="Ênfase2 3" xfId="156"/>
    <cellStyle name="Ênfase2 3 2" xfId="157"/>
    <cellStyle name="Ênfase3 2" xfId="158"/>
    <cellStyle name="Ênfase3 2 2" xfId="159"/>
    <cellStyle name="Ênfase3 3" xfId="160"/>
    <cellStyle name="Ênfase3 3 2" xfId="161"/>
    <cellStyle name="Ênfase4 2" xfId="162"/>
    <cellStyle name="Ênfase4 2 2" xfId="163"/>
    <cellStyle name="Ênfase4 3" xfId="164"/>
    <cellStyle name="Ênfase4 3 2" xfId="165"/>
    <cellStyle name="Ênfase5 2" xfId="166"/>
    <cellStyle name="Ênfase5 2 2" xfId="167"/>
    <cellStyle name="Ênfase5 3" xfId="168"/>
    <cellStyle name="Ênfase5 3 2" xfId="169"/>
    <cellStyle name="Ênfase6 2" xfId="170"/>
    <cellStyle name="Ênfase6 2 2" xfId="171"/>
    <cellStyle name="Ênfase6 3" xfId="172"/>
    <cellStyle name="Ênfase6 3 2" xfId="173"/>
    <cellStyle name="Entrada 2" xfId="174"/>
    <cellStyle name="Entrada 2 2" xfId="175"/>
    <cellStyle name="Entrada 2 2 2" xfId="176"/>
    <cellStyle name="Entrada 2 3" xfId="177"/>
    <cellStyle name="Entrada 3" xfId="178"/>
    <cellStyle name="Entrada 3 2" xfId="179"/>
    <cellStyle name="Entrada 3 2 2" xfId="180"/>
    <cellStyle name="Entrada 3 3" xfId="181"/>
    <cellStyle name="Hyperlink 2" xfId="182"/>
    <cellStyle name="Incorreto 2" xfId="183"/>
    <cellStyle name="Incorreto 2 2" xfId="184"/>
    <cellStyle name="Incorreto 3" xfId="185"/>
    <cellStyle name="Incorreto 3 2" xfId="186"/>
    <cellStyle name="Moeda" xfId="2" builtinId="4"/>
    <cellStyle name="Moeda 10" xfId="187"/>
    <cellStyle name="Moeda 10 2" xfId="188"/>
    <cellStyle name="Moeda 10 2 2" xfId="189"/>
    <cellStyle name="Moeda 10 3" xfId="190"/>
    <cellStyle name="Moeda 11" xfId="191"/>
    <cellStyle name="Moeda 11 2" xfId="192"/>
    <cellStyle name="Moeda 11 2 2" xfId="193"/>
    <cellStyle name="Moeda 11 3" xfId="194"/>
    <cellStyle name="Moeda 12" xfId="195"/>
    <cellStyle name="Moeda 12 2" xfId="196"/>
    <cellStyle name="Moeda 13" xfId="197"/>
    <cellStyle name="Moeda 13 2" xfId="198"/>
    <cellStyle name="Moeda 14" xfId="199"/>
    <cellStyle name="Moeda 15" xfId="346"/>
    <cellStyle name="Moeda 2" xfId="200"/>
    <cellStyle name="Moeda 2 2" xfId="201"/>
    <cellStyle name="Moeda 2 2 2" xfId="202"/>
    <cellStyle name="Moeda 2 2 2 2" xfId="203"/>
    <cellStyle name="Moeda 2 2 3" xfId="204"/>
    <cellStyle name="Moeda 2 3" xfId="205"/>
    <cellStyle name="Moeda 2 3 2" xfId="206"/>
    <cellStyle name="Moeda 2 4" xfId="207"/>
    <cellStyle name="Moeda 2 5" xfId="208"/>
    <cellStyle name="Moeda 2 5 2" xfId="209"/>
    <cellStyle name="Moeda 2 6" xfId="210"/>
    <cellStyle name="Moeda 3" xfId="211"/>
    <cellStyle name="Moeda 3 2" xfId="212"/>
    <cellStyle name="Moeda 4" xfId="213"/>
    <cellStyle name="Moeda 4 2" xfId="214"/>
    <cellStyle name="Moeda 5" xfId="215"/>
    <cellStyle name="Moeda 5 2" xfId="216"/>
    <cellStyle name="Moeda 6" xfId="217"/>
    <cellStyle name="Moeda 7" xfId="218"/>
    <cellStyle name="Moeda 7 2" xfId="219"/>
    <cellStyle name="Moeda 7 2 2" xfId="220"/>
    <cellStyle name="Moeda 7 2 3" xfId="221"/>
    <cellStyle name="Moeda 7 3" xfId="222"/>
    <cellStyle name="Moeda 7 4" xfId="223"/>
    <cellStyle name="Moeda 8" xfId="224"/>
    <cellStyle name="Moeda 8 2" xfId="225"/>
    <cellStyle name="Moeda 8 2 2" xfId="226"/>
    <cellStyle name="Moeda 8 3" xfId="227"/>
    <cellStyle name="Moeda 9" xfId="228"/>
    <cellStyle name="Moeda 9 2" xfId="229"/>
    <cellStyle name="Moeda 9 3" xfId="230"/>
    <cellStyle name="Moeda_Planilha teste - motorista e ajudante 2009" xfId="5"/>
    <cellStyle name="Neutra 2" xfId="231"/>
    <cellStyle name="Neutra 2 2" xfId="232"/>
    <cellStyle name="Neutra 3" xfId="233"/>
    <cellStyle name="Neutra 3 2" xfId="234"/>
    <cellStyle name="Normal" xfId="0" builtinId="0"/>
    <cellStyle name="Normal 2" xfId="235"/>
    <cellStyle name="Normal 2 2" xfId="236"/>
    <cellStyle name="Normal 2 3" xfId="6"/>
    <cellStyle name="Normal 3" xfId="237"/>
    <cellStyle name="Normal 3 2" xfId="238"/>
    <cellStyle name="Normal 3 2 2" xfId="239"/>
    <cellStyle name="Normal 3 2 3" xfId="240"/>
    <cellStyle name="Normal 4" xfId="241"/>
    <cellStyle name="Normal 5" xfId="242"/>
    <cellStyle name="Normal 6" xfId="243"/>
    <cellStyle name="Normal 6 2" xfId="244"/>
    <cellStyle name="Normal 6 3" xfId="245"/>
    <cellStyle name="Normal 7" xfId="246"/>
    <cellStyle name="Normal 8" xfId="247"/>
    <cellStyle name="Normal 8 2" xfId="248"/>
    <cellStyle name="Normal 8 3" xfId="249"/>
    <cellStyle name="Normal_Planilha teste - motorista e ajudante 2009" xfId="4"/>
    <cellStyle name="Nota 2" xfId="250"/>
    <cellStyle name="Nota 2 2" xfId="251"/>
    <cellStyle name="Nota 2 2 2" xfId="252"/>
    <cellStyle name="Nota 2 2 3" xfId="253"/>
    <cellStyle name="Nota 2 3" xfId="254"/>
    <cellStyle name="Nota 2 4" xfId="255"/>
    <cellStyle name="Nota 3" xfId="256"/>
    <cellStyle name="Nota 3 2" xfId="257"/>
    <cellStyle name="Nota 3 2 2" xfId="258"/>
    <cellStyle name="Nota 3 2 3" xfId="259"/>
    <cellStyle name="Nota 3 3" xfId="260"/>
    <cellStyle name="Nota 3 4" xfId="261"/>
    <cellStyle name="Porcentagem" xfId="3" builtinId="5"/>
    <cellStyle name="Porcentagem 10" xfId="262"/>
    <cellStyle name="Porcentagem 10 2" xfId="263"/>
    <cellStyle name="Porcentagem 10 3" xfId="264"/>
    <cellStyle name="Porcentagem 11" xfId="265"/>
    <cellStyle name="Porcentagem 2" xfId="266"/>
    <cellStyle name="Porcentagem 2 2" xfId="267"/>
    <cellStyle name="Porcentagem 2 3" xfId="268"/>
    <cellStyle name="Porcentagem 3" xfId="269"/>
    <cellStyle name="Porcentagem 4" xfId="270"/>
    <cellStyle name="Porcentagem 5" xfId="271"/>
    <cellStyle name="Porcentagem 5 2" xfId="272"/>
    <cellStyle name="Porcentagem 6" xfId="273"/>
    <cellStyle name="Porcentagem 6 2" xfId="274"/>
    <cellStyle name="Porcentagem 7" xfId="275"/>
    <cellStyle name="Porcentagem 7 2" xfId="276"/>
    <cellStyle name="Porcentagem 8" xfId="277"/>
    <cellStyle name="Porcentagem 8 2" xfId="278"/>
    <cellStyle name="Porcentagem 8 2 2" xfId="279"/>
    <cellStyle name="Porcentagem 9" xfId="280"/>
    <cellStyle name="Saída 2" xfId="281"/>
    <cellStyle name="Saída 2 2" xfId="282"/>
    <cellStyle name="Saída 2 2 2" xfId="283"/>
    <cellStyle name="Saída 2 3" xfId="284"/>
    <cellStyle name="Saída 3" xfId="285"/>
    <cellStyle name="Saída 3 2" xfId="286"/>
    <cellStyle name="Saída 3 2 2" xfId="287"/>
    <cellStyle name="Saída 3 3" xfId="288"/>
    <cellStyle name="Separador de milhares 10" xfId="289"/>
    <cellStyle name="Separador de milhares 10 2" xfId="290"/>
    <cellStyle name="Separador de milhares 10 2 2" xfId="291"/>
    <cellStyle name="Separador de milhares 10 3" xfId="292"/>
    <cellStyle name="Separador de milhares 2" xfId="293"/>
    <cellStyle name="Separador de milhares 2 2" xfId="294"/>
    <cellStyle name="Separador de milhares 2 2 2" xfId="295"/>
    <cellStyle name="Separador de milhares 2 2 3" xfId="296"/>
    <cellStyle name="Separador de milhares 2 3" xfId="297"/>
    <cellStyle name="Separador de milhares 2 3 2" xfId="298"/>
    <cellStyle name="Separador de milhares 2 4" xfId="299"/>
    <cellStyle name="Separador de milhares 3" xfId="300"/>
    <cellStyle name="Separador de milhares 3 2" xfId="301"/>
    <cellStyle name="Separador de milhares 4" xfId="302"/>
    <cellStyle name="Separador de milhares 4 2" xfId="303"/>
    <cellStyle name="Separador de milhares 4 3" xfId="304"/>
    <cellStyle name="Separador de milhares 5" xfId="305"/>
    <cellStyle name="Separador de milhares 5 2" xfId="306"/>
    <cellStyle name="Separador de milhares 6" xfId="307"/>
    <cellStyle name="Texto de Aviso 2" xfId="308"/>
    <cellStyle name="Texto de Aviso 2 2" xfId="309"/>
    <cellStyle name="Texto de Aviso 3" xfId="310"/>
    <cellStyle name="Texto de Aviso 3 2" xfId="311"/>
    <cellStyle name="Texto Explicativo 2" xfId="312"/>
    <cellStyle name="Texto Explicativo 2 2" xfId="313"/>
    <cellStyle name="Texto Explicativo 3" xfId="314"/>
    <cellStyle name="Texto Explicativo 3 2" xfId="315"/>
    <cellStyle name="Título 1 2" xfId="316"/>
    <cellStyle name="Título 1 2 2" xfId="317"/>
    <cellStyle name="Título 1 3" xfId="318"/>
    <cellStyle name="Título 1 3 2" xfId="319"/>
    <cellStyle name="Título 2 2" xfId="320"/>
    <cellStyle name="Título 2 2 2" xfId="321"/>
    <cellStyle name="Título 2 3" xfId="322"/>
    <cellStyle name="Título 2 3 2" xfId="323"/>
    <cellStyle name="Título 3 2" xfId="324"/>
    <cellStyle name="Título 3 2 2" xfId="325"/>
    <cellStyle name="Título 3 3" xfId="326"/>
    <cellStyle name="Título 3 3 2" xfId="327"/>
    <cellStyle name="Título 4 2" xfId="328"/>
    <cellStyle name="Título 4 2 2" xfId="329"/>
    <cellStyle name="Título 4 3" xfId="330"/>
    <cellStyle name="Título 4 3 2" xfId="331"/>
    <cellStyle name="Título 5" xfId="332"/>
    <cellStyle name="Título 5 2" xfId="333"/>
    <cellStyle name="Título 6" xfId="334"/>
    <cellStyle name="Título 6 2" xfId="335"/>
    <cellStyle name="Total 2" xfId="336"/>
    <cellStyle name="Total 2 2" xfId="337"/>
    <cellStyle name="Total 2 2 2" xfId="338"/>
    <cellStyle name="Total 2 3" xfId="339"/>
    <cellStyle name="Total 3" xfId="340"/>
    <cellStyle name="Total 3 2" xfId="341"/>
    <cellStyle name="Total 3 2 2" xfId="342"/>
    <cellStyle name="Total 3 3" xfId="343"/>
    <cellStyle name="Vírgula" xfId="1" builtinId="3"/>
    <cellStyle name="Vírgula 2" xfId="344"/>
    <cellStyle name="Vírgula 3" xfId="345"/>
  </cellStyles>
  <dxfs count="4"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98"/>
  <sheetViews>
    <sheetView topLeftCell="B1" zoomScale="89" zoomScaleNormal="89" workbookViewId="0">
      <selection activeCell="K36" sqref="K36"/>
    </sheetView>
  </sheetViews>
  <sheetFormatPr defaultRowHeight="12.75"/>
  <cols>
    <col min="1" max="1" width="0" style="95" hidden="1" customWidth="1"/>
    <col min="2" max="2" width="22" style="95" bestFit="1" customWidth="1"/>
    <col min="3" max="3" width="2.85546875" style="95" customWidth="1"/>
    <col min="4" max="4" width="10.85546875" style="95" bestFit="1" customWidth="1"/>
    <col min="5" max="5" width="9.140625" style="95" bestFit="1" customWidth="1"/>
    <col min="6" max="6" width="10.85546875" style="95" bestFit="1" customWidth="1"/>
    <col min="7" max="7" width="12.140625" style="95" bestFit="1" customWidth="1"/>
    <col min="8" max="8" width="12.7109375" style="95" bestFit="1" customWidth="1"/>
    <col min="9" max="9" width="9.140625" style="95" bestFit="1" customWidth="1"/>
    <col min="10" max="10" width="10.85546875" style="95" bestFit="1" customWidth="1"/>
    <col min="11" max="11" width="11.28515625" style="95" bestFit="1" customWidth="1"/>
    <col min="12" max="12" width="6" style="95" bestFit="1" customWidth="1"/>
    <col min="13" max="13" width="8.85546875" style="95" bestFit="1" customWidth="1"/>
    <col min="14" max="15" width="10.85546875" style="95" bestFit="1" customWidth="1"/>
    <col min="16" max="16" width="9" style="95" bestFit="1" customWidth="1"/>
    <col min="17" max="17" width="8.7109375" style="95" bestFit="1" customWidth="1"/>
    <col min="18" max="18" width="6.85546875" style="95" bestFit="1" customWidth="1"/>
    <col min="19" max="19" width="8.28515625" style="95" bestFit="1" customWidth="1"/>
    <col min="20" max="20" width="6.85546875" style="95" bestFit="1" customWidth="1"/>
    <col min="21" max="21" width="8.42578125" style="95" bestFit="1" customWidth="1"/>
    <col min="22" max="22" width="6.85546875" style="95" bestFit="1" customWidth="1"/>
    <col min="23" max="23" width="8.5703125" style="95" bestFit="1" customWidth="1"/>
    <col min="24" max="24" width="8.42578125" style="95" bestFit="1" customWidth="1"/>
    <col min="25" max="25" width="7.42578125" style="95" bestFit="1" customWidth="1"/>
    <col min="26" max="26" width="7.7109375" style="95" bestFit="1" customWidth="1"/>
    <col min="27" max="27" width="7" style="95" bestFit="1" customWidth="1"/>
    <col min="28" max="28" width="6.28515625" style="95" bestFit="1" customWidth="1"/>
    <col min="29" max="30" width="7.5703125" style="95" bestFit="1" customWidth="1"/>
    <col min="31" max="31" width="8.85546875" style="95" bestFit="1" customWidth="1"/>
    <col min="32" max="32" width="8.42578125" style="95" bestFit="1" customWidth="1"/>
    <col min="33" max="33" width="7.28515625" style="95" bestFit="1" customWidth="1"/>
    <col min="34" max="34" width="7.7109375" style="95" bestFit="1" customWidth="1"/>
    <col min="35" max="35" width="6.85546875" style="95" bestFit="1" customWidth="1"/>
    <col min="36" max="16384" width="9.140625" style="95"/>
  </cols>
  <sheetData>
    <row r="2" spans="1:35" ht="38.25">
      <c r="A2" s="96" t="s">
        <v>70</v>
      </c>
      <c r="B2" s="96" t="s">
        <v>70</v>
      </c>
      <c r="D2" s="90" t="str">
        <f>B3</f>
        <v>Aparecida</v>
      </c>
      <c r="E2" s="90" t="str">
        <f>B4</f>
        <v>Araçatuba</v>
      </c>
      <c r="F2" s="90" t="str">
        <f>B5</f>
        <v>Arujá</v>
      </c>
      <c r="G2" s="90" t="str">
        <f>B6</f>
        <v>Atibaia</v>
      </c>
      <c r="H2" s="90" t="str">
        <f>B7</f>
        <v>Barra_do_Turvo</v>
      </c>
      <c r="I2" s="90" t="str">
        <f>B8</f>
        <v>Bauru</v>
      </c>
      <c r="J2" s="90" t="str">
        <f>B9</f>
        <v>Caçapava</v>
      </c>
      <c r="K2" s="90" t="str">
        <f>B10</f>
        <v>Cachoeira_Paulista</v>
      </c>
      <c r="L2" s="90" t="str">
        <f>B11</f>
        <v>Cajati</v>
      </c>
      <c r="M2" s="90" t="str">
        <f>B12</f>
        <v>Campinas</v>
      </c>
      <c r="N2" s="90" t="str">
        <f>B13</f>
        <v>Guaiçara</v>
      </c>
      <c r="O2" s="90" t="str">
        <f>B14</f>
        <v>Guarulhos</v>
      </c>
      <c r="P2" s="90" t="str">
        <f>B15</f>
        <v>Itapecerica_da_Serra</v>
      </c>
      <c r="Q2" s="90" t="str">
        <f>B16</f>
        <v>Lavrinhas</v>
      </c>
      <c r="R2" s="90" t="str">
        <f>B17</f>
        <v>Marília</v>
      </c>
      <c r="S2" s="90" t="str">
        <f>B18</f>
        <v>Miracatu</v>
      </c>
      <c r="T2" s="90" t="str">
        <f>B19</f>
        <v>Osasco</v>
      </c>
      <c r="U2" s="90" t="str">
        <f>B20</f>
        <v>Ourinhos</v>
      </c>
      <c r="V2" s="90" t="str">
        <f>B21</f>
        <v>Piquete</v>
      </c>
      <c r="W2" s="90" t="str">
        <f>B22</f>
        <v>Piracicaba</v>
      </c>
      <c r="X2" s="90" t="str">
        <f>B23</f>
        <v>Presidente_Prudente</v>
      </c>
      <c r="Y2" s="90" t="str">
        <f>B24</f>
        <v>Registro</v>
      </c>
      <c r="Z2" s="90" t="str">
        <f>B25</f>
        <v>Ribeirão_Preto</v>
      </c>
      <c r="AA2" s="90" t="str">
        <f>B26</f>
        <v>Roseira</v>
      </c>
      <c r="AB2" s="90" t="str">
        <f>B27</f>
        <v>Santos</v>
      </c>
      <c r="AC2" s="90" t="str">
        <f>B28</f>
        <v>São_José_do_Rio_Preto</v>
      </c>
      <c r="AD2" s="90" t="str">
        <f>B29</f>
        <v>São_José_dos_Campos</v>
      </c>
      <c r="AE2" s="90" t="str">
        <f>B30</f>
        <v>São_Paulo</v>
      </c>
      <c r="AF2" s="90" t="str">
        <f>B31</f>
        <v>Sorocaba</v>
      </c>
      <c r="AG2" s="90" t="str">
        <f>B32</f>
        <v>Taubaté</v>
      </c>
      <c r="AH2" s="90" t="str">
        <f>B33</f>
        <v>Ubatuba</v>
      </c>
      <c r="AI2" s="90" t="str">
        <f>B34</f>
        <v>Vargem</v>
      </c>
    </row>
    <row r="3" spans="1:35" ht="76.5">
      <c r="A3" s="90" t="s">
        <v>71</v>
      </c>
      <c r="B3" s="90" t="s">
        <v>71</v>
      </c>
      <c r="D3" s="95" t="s">
        <v>102</v>
      </c>
      <c r="E3" s="95" t="s">
        <v>103</v>
      </c>
      <c r="F3" s="95" t="s">
        <v>109</v>
      </c>
      <c r="G3" s="95" t="s">
        <v>104</v>
      </c>
      <c r="H3" s="95" t="s">
        <v>106</v>
      </c>
      <c r="I3" s="95" t="s">
        <v>107</v>
      </c>
      <c r="J3" s="95" t="s">
        <v>108</v>
      </c>
      <c r="K3" s="94" t="s">
        <v>110</v>
      </c>
      <c r="L3" s="95" t="s">
        <v>112</v>
      </c>
      <c r="M3" s="95" t="s">
        <v>113</v>
      </c>
      <c r="N3" s="95" t="s">
        <v>115</v>
      </c>
      <c r="O3" s="95" t="s">
        <v>116</v>
      </c>
      <c r="P3" s="95" t="s">
        <v>120</v>
      </c>
      <c r="Q3" s="95" t="s">
        <v>122</v>
      </c>
      <c r="R3" s="95" t="s">
        <v>123</v>
      </c>
      <c r="S3" s="95" t="s">
        <v>125</v>
      </c>
      <c r="T3" s="95" t="s">
        <v>127</v>
      </c>
      <c r="U3" s="95" t="s">
        <v>128</v>
      </c>
      <c r="V3" s="95" t="s">
        <v>129</v>
      </c>
      <c r="W3" s="95" t="s">
        <v>130</v>
      </c>
      <c r="X3" s="95" t="s">
        <v>131</v>
      </c>
      <c r="Y3" s="95" t="s">
        <v>133</v>
      </c>
      <c r="Z3" s="95" t="s">
        <v>135</v>
      </c>
      <c r="AA3" s="95" t="s">
        <v>137</v>
      </c>
      <c r="AB3" s="95" t="s">
        <v>138</v>
      </c>
      <c r="AC3" s="95" t="s">
        <v>140</v>
      </c>
      <c r="AD3" s="95" t="s">
        <v>143</v>
      </c>
      <c r="AE3" s="95" t="s">
        <v>145</v>
      </c>
      <c r="AF3" s="95" t="s">
        <v>148</v>
      </c>
      <c r="AG3" s="95" t="s">
        <v>149</v>
      </c>
      <c r="AH3" s="95" t="s">
        <v>151</v>
      </c>
      <c r="AI3" s="95" t="s">
        <v>155</v>
      </c>
    </row>
    <row r="4" spans="1:35" ht="51">
      <c r="A4" s="90" t="s">
        <v>72</v>
      </c>
      <c r="B4" s="90" t="s">
        <v>72</v>
      </c>
      <c r="G4" s="95" t="s">
        <v>105</v>
      </c>
      <c r="K4" s="93" t="s">
        <v>111</v>
      </c>
      <c r="M4" s="95" t="s">
        <v>114</v>
      </c>
      <c r="O4" s="95" t="s">
        <v>117</v>
      </c>
      <c r="P4" s="95" t="s">
        <v>121</v>
      </c>
      <c r="R4" s="95" t="s">
        <v>124</v>
      </c>
      <c r="S4" s="95" t="s">
        <v>126</v>
      </c>
      <c r="X4" s="95" t="s">
        <v>132</v>
      </c>
      <c r="Y4" s="95" t="s">
        <v>134</v>
      </c>
      <c r="Z4" s="95" t="s">
        <v>136</v>
      </c>
      <c r="AB4" s="95" t="s">
        <v>139</v>
      </c>
      <c r="AC4" s="95" t="s">
        <v>141</v>
      </c>
      <c r="AD4" s="95" t="s">
        <v>144</v>
      </c>
      <c r="AE4" s="95" t="s">
        <v>69</v>
      </c>
      <c r="AG4" s="95" t="s">
        <v>150</v>
      </c>
      <c r="AH4" s="95" t="s">
        <v>152</v>
      </c>
    </row>
    <row r="5" spans="1:35" ht="51">
      <c r="A5" s="90" t="s">
        <v>73</v>
      </c>
      <c r="B5" s="90" t="s">
        <v>73</v>
      </c>
      <c r="O5" s="95" t="s">
        <v>118</v>
      </c>
      <c r="AC5" s="95" t="s">
        <v>142</v>
      </c>
      <c r="AE5" s="95" t="s">
        <v>146</v>
      </c>
      <c r="AH5" s="95" t="s">
        <v>153</v>
      </c>
    </row>
    <row r="6" spans="1:35" ht="38.25">
      <c r="A6" s="90" t="s">
        <v>74</v>
      </c>
      <c r="B6" s="90" t="s">
        <v>74</v>
      </c>
      <c r="O6" s="95" t="s">
        <v>119</v>
      </c>
      <c r="AE6" s="95" t="s">
        <v>147</v>
      </c>
      <c r="AH6" s="95" t="s">
        <v>154</v>
      </c>
    </row>
    <row r="7" spans="1:35" ht="25.5">
      <c r="A7" s="90" t="s">
        <v>75</v>
      </c>
      <c r="B7" s="90" t="s">
        <v>156</v>
      </c>
      <c r="AE7"/>
      <c r="AH7"/>
    </row>
    <row r="8" spans="1:35" ht="15">
      <c r="A8" s="90" t="s">
        <v>76</v>
      </c>
      <c r="B8" s="90" t="s">
        <v>76</v>
      </c>
      <c r="AE8"/>
      <c r="AH8"/>
    </row>
    <row r="9" spans="1:35" ht="15">
      <c r="A9" s="90" t="s">
        <v>77</v>
      </c>
      <c r="B9" s="90" t="s">
        <v>77</v>
      </c>
      <c r="AE9"/>
      <c r="AH9"/>
    </row>
    <row r="10" spans="1:35" ht="25.5">
      <c r="A10" s="90" t="s">
        <v>78</v>
      </c>
      <c r="B10" s="90" t="s">
        <v>157</v>
      </c>
      <c r="AE10"/>
      <c r="AH10"/>
    </row>
    <row r="11" spans="1:35" ht="15">
      <c r="A11" s="90" t="s">
        <v>79</v>
      </c>
      <c r="B11" s="90" t="s">
        <v>79</v>
      </c>
      <c r="AE11"/>
      <c r="AH11"/>
    </row>
    <row r="12" spans="1:35" ht="15">
      <c r="A12" s="90" t="s">
        <v>80</v>
      </c>
      <c r="B12" s="90" t="s">
        <v>80</v>
      </c>
      <c r="AE12"/>
      <c r="AH12"/>
    </row>
    <row r="13" spans="1:35" ht="15">
      <c r="A13" s="90" t="s">
        <v>81</v>
      </c>
      <c r="B13" s="90" t="s">
        <v>81</v>
      </c>
      <c r="AE13"/>
      <c r="AH13"/>
    </row>
    <row r="14" spans="1:35" ht="25.5">
      <c r="A14" s="90" t="s">
        <v>82</v>
      </c>
      <c r="B14" s="90" t="s">
        <v>82</v>
      </c>
      <c r="AE14"/>
      <c r="AH14"/>
    </row>
    <row r="15" spans="1:35" ht="25.5">
      <c r="A15" s="90" t="s">
        <v>83</v>
      </c>
      <c r="B15" s="90" t="s">
        <v>158</v>
      </c>
      <c r="AE15"/>
      <c r="AH15"/>
    </row>
    <row r="16" spans="1:35" ht="15">
      <c r="A16" s="90" t="s">
        <v>84</v>
      </c>
      <c r="B16" s="90" t="s">
        <v>84</v>
      </c>
      <c r="AE16"/>
      <c r="AH16"/>
    </row>
    <row r="17" spans="1:34" ht="15">
      <c r="A17" s="90" t="s">
        <v>85</v>
      </c>
      <c r="B17" s="90" t="s">
        <v>85</v>
      </c>
      <c r="AE17"/>
      <c r="AH17"/>
    </row>
    <row r="18" spans="1:34" ht="15">
      <c r="A18" s="90" t="s">
        <v>86</v>
      </c>
      <c r="B18" s="90" t="s">
        <v>86</v>
      </c>
      <c r="AE18"/>
      <c r="AH18"/>
    </row>
    <row r="19" spans="1:34" ht="15">
      <c r="A19" s="90" t="s">
        <v>87</v>
      </c>
      <c r="B19" s="90" t="s">
        <v>87</v>
      </c>
      <c r="AE19"/>
      <c r="AH19"/>
    </row>
    <row r="20" spans="1:34" ht="15">
      <c r="A20" s="90" t="s">
        <v>88</v>
      </c>
      <c r="B20" s="90" t="s">
        <v>88</v>
      </c>
      <c r="AE20"/>
      <c r="AH20"/>
    </row>
    <row r="21" spans="1:34" ht="15">
      <c r="A21" s="90" t="s">
        <v>89</v>
      </c>
      <c r="B21" s="90" t="s">
        <v>89</v>
      </c>
      <c r="AE21"/>
      <c r="AH21"/>
    </row>
    <row r="22" spans="1:34" ht="25.5">
      <c r="A22" s="90" t="s">
        <v>90</v>
      </c>
      <c r="B22" s="90" t="s">
        <v>90</v>
      </c>
      <c r="AE22"/>
      <c r="AH22"/>
    </row>
    <row r="23" spans="1:34" ht="38.25">
      <c r="A23" s="90" t="s">
        <v>91</v>
      </c>
      <c r="B23" s="90" t="s">
        <v>159</v>
      </c>
      <c r="AE23"/>
      <c r="AH23"/>
    </row>
    <row r="24" spans="1:34" ht="15">
      <c r="A24" s="90" t="s">
        <v>92</v>
      </c>
      <c r="B24" s="90" t="s">
        <v>92</v>
      </c>
      <c r="AE24"/>
      <c r="AH24"/>
    </row>
    <row r="25" spans="1:34" ht="25.5">
      <c r="A25" s="90" t="s">
        <v>93</v>
      </c>
      <c r="B25" s="90" t="s">
        <v>160</v>
      </c>
      <c r="AE25"/>
      <c r="AH25"/>
    </row>
    <row r="26" spans="1:34" ht="15">
      <c r="A26" s="90" t="s">
        <v>94</v>
      </c>
      <c r="B26" s="90" t="s">
        <v>94</v>
      </c>
      <c r="AE26"/>
      <c r="AH26"/>
    </row>
    <row r="27" spans="1:34" ht="15">
      <c r="A27" s="90" t="s">
        <v>95</v>
      </c>
      <c r="B27" s="90" t="s">
        <v>95</v>
      </c>
      <c r="AE27"/>
      <c r="AH27"/>
    </row>
    <row r="28" spans="1:34" ht="38.25">
      <c r="A28" s="90" t="s">
        <v>96</v>
      </c>
      <c r="B28" s="90" t="s">
        <v>161</v>
      </c>
      <c r="AE28"/>
      <c r="AH28"/>
    </row>
    <row r="29" spans="1:34" ht="38.25">
      <c r="A29" s="90" t="s">
        <v>97</v>
      </c>
      <c r="B29" s="90" t="s">
        <v>162</v>
      </c>
      <c r="AE29"/>
      <c r="AH29"/>
    </row>
    <row r="30" spans="1:34" ht="15">
      <c r="A30" s="90" t="s">
        <v>68</v>
      </c>
      <c r="B30" s="90" t="s">
        <v>163</v>
      </c>
      <c r="AE30"/>
      <c r="AH30"/>
    </row>
    <row r="31" spans="1:34" ht="15">
      <c r="A31" s="90" t="s">
        <v>98</v>
      </c>
      <c r="B31" s="90" t="s">
        <v>98</v>
      </c>
      <c r="AE31"/>
      <c r="AH31"/>
    </row>
    <row r="32" spans="1:34" ht="15">
      <c r="A32" s="90" t="s">
        <v>99</v>
      </c>
      <c r="B32" s="90" t="s">
        <v>99</v>
      </c>
      <c r="AE32"/>
      <c r="AH32"/>
    </row>
    <row r="33" spans="1:34" ht="15">
      <c r="A33" s="90" t="s">
        <v>100</v>
      </c>
      <c r="B33" s="90" t="s">
        <v>100</v>
      </c>
      <c r="AE33"/>
      <c r="AH33"/>
    </row>
    <row r="34" spans="1:34" ht="15">
      <c r="A34" s="90" t="s">
        <v>101</v>
      </c>
      <c r="B34" s="90" t="s">
        <v>101</v>
      </c>
      <c r="AE34"/>
      <c r="AH34"/>
    </row>
    <row r="35" spans="1:34" ht="15">
      <c r="AE35"/>
      <c r="AH35"/>
    </row>
    <row r="36" spans="1:34" ht="15">
      <c r="AE36"/>
      <c r="AH36"/>
    </row>
    <row r="37" spans="1:34" ht="15">
      <c r="AE37"/>
      <c r="AH37"/>
    </row>
    <row r="38" spans="1:34" ht="15">
      <c r="AE38"/>
      <c r="AH38"/>
    </row>
    <row r="39" spans="1:34" ht="15">
      <c r="AE39"/>
      <c r="AH39"/>
    </row>
    <row r="40" spans="1:34" ht="15">
      <c r="AE40"/>
      <c r="AH40"/>
    </row>
    <row r="41" spans="1:34" ht="15">
      <c r="AE41"/>
      <c r="AH41"/>
    </row>
    <row r="42" spans="1:34" ht="15">
      <c r="AE42"/>
      <c r="AH42"/>
    </row>
    <row r="43" spans="1:34" ht="15">
      <c r="AE43"/>
      <c r="AH43"/>
    </row>
    <row r="44" spans="1:34" ht="15">
      <c r="AE44"/>
      <c r="AH44"/>
    </row>
    <row r="45" spans="1:34" ht="15">
      <c r="AE45"/>
      <c r="AH45"/>
    </row>
    <row r="46" spans="1:34" ht="15">
      <c r="AE46"/>
      <c r="AH46"/>
    </row>
    <row r="47" spans="1:34" ht="15">
      <c r="AE47"/>
      <c r="AH47"/>
    </row>
    <row r="48" spans="1:34" ht="15">
      <c r="AE48"/>
      <c r="AH48"/>
    </row>
    <row r="49" spans="31:34" ht="15">
      <c r="AE49"/>
      <c r="AH49"/>
    </row>
    <row r="50" spans="31:34" ht="15">
      <c r="AE50"/>
      <c r="AH50"/>
    </row>
    <row r="51" spans="31:34" ht="15">
      <c r="AE51"/>
      <c r="AH51"/>
    </row>
    <row r="52" spans="31:34" ht="15">
      <c r="AE52"/>
      <c r="AH52"/>
    </row>
    <row r="53" spans="31:34" ht="15">
      <c r="AE53"/>
      <c r="AH53"/>
    </row>
    <row r="54" spans="31:34" ht="15">
      <c r="AE54"/>
      <c r="AH54"/>
    </row>
    <row r="55" spans="31:34" ht="15">
      <c r="AE55"/>
      <c r="AH55"/>
    </row>
    <row r="56" spans="31:34" ht="15">
      <c r="AE56"/>
      <c r="AH56"/>
    </row>
    <row r="57" spans="31:34" ht="15">
      <c r="AE57"/>
      <c r="AH57"/>
    </row>
    <row r="58" spans="31:34" ht="15">
      <c r="AE58"/>
      <c r="AH58"/>
    </row>
    <row r="59" spans="31:34" ht="15">
      <c r="AE59"/>
      <c r="AH59"/>
    </row>
    <row r="60" spans="31:34" ht="15">
      <c r="AE60"/>
      <c r="AH60"/>
    </row>
    <row r="61" spans="31:34" ht="15">
      <c r="AE61"/>
      <c r="AH61"/>
    </row>
    <row r="62" spans="31:34" ht="15">
      <c r="AE62"/>
      <c r="AH62"/>
    </row>
    <row r="63" spans="31:34" ht="15">
      <c r="AE63"/>
      <c r="AH63"/>
    </row>
    <row r="64" spans="31:34" ht="15">
      <c r="AE64"/>
      <c r="AH64"/>
    </row>
    <row r="65" spans="31:34" ht="15">
      <c r="AE65"/>
      <c r="AH65"/>
    </row>
    <row r="66" spans="31:34" ht="15">
      <c r="AE66"/>
      <c r="AH66"/>
    </row>
    <row r="67" spans="31:34" ht="15">
      <c r="AE67"/>
      <c r="AH67"/>
    </row>
    <row r="68" spans="31:34" ht="15">
      <c r="AE68"/>
      <c r="AH68"/>
    </row>
    <row r="69" spans="31:34" ht="15">
      <c r="AE69"/>
      <c r="AH69"/>
    </row>
    <row r="70" spans="31:34" ht="15">
      <c r="AE70"/>
      <c r="AH70"/>
    </row>
    <row r="71" spans="31:34" ht="15">
      <c r="AE71"/>
      <c r="AH71"/>
    </row>
    <row r="72" spans="31:34" ht="15">
      <c r="AE72"/>
      <c r="AH72"/>
    </row>
    <row r="73" spans="31:34" ht="15">
      <c r="AE73"/>
      <c r="AH73"/>
    </row>
    <row r="74" spans="31:34" ht="15">
      <c r="AE74"/>
      <c r="AH74"/>
    </row>
    <row r="75" spans="31:34" ht="15">
      <c r="AE75"/>
      <c r="AH75"/>
    </row>
    <row r="76" spans="31:34" ht="15">
      <c r="AE76"/>
      <c r="AH76"/>
    </row>
    <row r="77" spans="31:34" ht="15">
      <c r="AE77"/>
      <c r="AH77"/>
    </row>
    <row r="78" spans="31:34" ht="15">
      <c r="AE78"/>
      <c r="AH78"/>
    </row>
    <row r="79" spans="31:34" ht="15">
      <c r="AE79"/>
      <c r="AH79"/>
    </row>
    <row r="80" spans="31:34" ht="15">
      <c r="AE80"/>
      <c r="AH80"/>
    </row>
    <row r="81" spans="31:34" ht="15">
      <c r="AE81"/>
      <c r="AH81"/>
    </row>
    <row r="82" spans="31:34" ht="15">
      <c r="AE82"/>
      <c r="AH82"/>
    </row>
    <row r="83" spans="31:34" ht="15">
      <c r="AE83"/>
      <c r="AH83"/>
    </row>
    <row r="84" spans="31:34" ht="15">
      <c r="AE84"/>
      <c r="AH84"/>
    </row>
    <row r="85" spans="31:34" ht="15">
      <c r="AE85"/>
      <c r="AH85"/>
    </row>
    <row r="86" spans="31:34" ht="15">
      <c r="AE86"/>
      <c r="AH86"/>
    </row>
    <row r="87" spans="31:34" ht="15">
      <c r="AE87"/>
      <c r="AH87"/>
    </row>
    <row r="88" spans="31:34" ht="15">
      <c r="AE88"/>
      <c r="AH88"/>
    </row>
    <row r="89" spans="31:34" ht="15">
      <c r="AE89"/>
      <c r="AH89"/>
    </row>
    <row r="90" spans="31:34" ht="15">
      <c r="AE90"/>
      <c r="AH90"/>
    </row>
    <row r="91" spans="31:34" ht="15">
      <c r="AE91"/>
      <c r="AH91"/>
    </row>
    <row r="92" spans="31:34" ht="15">
      <c r="AE92"/>
      <c r="AH92"/>
    </row>
    <row r="93" spans="31:34" ht="15">
      <c r="AE93"/>
      <c r="AH93"/>
    </row>
    <row r="94" spans="31:34" ht="15">
      <c r="AE94"/>
      <c r="AH94"/>
    </row>
    <row r="95" spans="31:34" ht="15">
      <c r="AE95"/>
      <c r="AH95"/>
    </row>
    <row r="96" spans="31:34" ht="15">
      <c r="AE96"/>
      <c r="AH96"/>
    </row>
    <row r="97" spans="31:34" ht="15">
      <c r="AE97"/>
      <c r="AH97"/>
    </row>
    <row r="98" spans="31:34" ht="15">
      <c r="AE98"/>
      <c r="AH98"/>
    </row>
  </sheetData>
  <conditionalFormatting sqref="B3:B34">
    <cfRule type="cellIs" dxfId="3" priority="5" operator="equal">
      <formula>0</formula>
    </cfRule>
  </conditionalFormatting>
  <conditionalFormatting sqref="D2:AI2">
    <cfRule type="cellIs" dxfId="2" priority="4" operator="equal">
      <formula>0</formula>
    </cfRule>
  </conditionalFormatting>
  <conditionalFormatting sqref="K3:K4">
    <cfRule type="cellIs" dxfId="1" priority="2" operator="equal">
      <formula>0</formula>
    </cfRule>
  </conditionalFormatting>
  <conditionalFormatting sqref="A3:A34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8" customWidth="1"/>
    <col min="2" max="2" width="4.5703125" style="18" customWidth="1"/>
    <col min="3" max="3" width="9" style="18" customWidth="1"/>
    <col min="4" max="4" width="25" style="18" customWidth="1"/>
    <col min="5" max="5" width="4.7109375" style="18" bestFit="1" customWidth="1"/>
    <col min="6" max="6" width="9" style="18" bestFit="1" customWidth="1"/>
    <col min="7" max="7" width="10.42578125" style="18" customWidth="1"/>
    <col min="8" max="8" width="10.7109375" style="18" customWidth="1"/>
    <col min="9" max="9" width="16.7109375" style="50" customWidth="1"/>
    <col min="10" max="10" width="9" style="51" bestFit="1" customWidth="1"/>
    <col min="11" max="11" width="9.140625" style="18" bestFit="1" customWidth="1"/>
    <col min="12" max="12" width="12.7109375" style="35" bestFit="1" customWidth="1"/>
    <col min="13" max="13" width="13.28515625" style="18" bestFit="1" customWidth="1"/>
    <col min="14" max="16384" width="11.85546875" style="18"/>
  </cols>
  <sheetData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9" customFormat="1">
      <c r="B3" s="456" t="e">
        <f>#REF!</f>
        <v>#REF!</v>
      </c>
      <c r="C3" s="457"/>
      <c r="D3" s="457"/>
      <c r="E3" s="457"/>
      <c r="F3" s="457"/>
      <c r="G3" s="457"/>
      <c r="H3" s="457"/>
      <c r="I3" s="457"/>
      <c r="J3" s="457"/>
      <c r="K3" s="457"/>
      <c r="L3" s="458"/>
    </row>
    <row r="4" spans="2:13" s="19" customFormat="1">
      <c r="B4" s="459"/>
      <c r="C4" s="460"/>
      <c r="D4" s="460"/>
      <c r="E4" s="460"/>
      <c r="F4" s="460"/>
      <c r="G4" s="460"/>
      <c r="H4" s="460"/>
      <c r="I4" s="460"/>
      <c r="J4" s="460"/>
      <c r="K4" s="460"/>
      <c r="L4" s="461"/>
    </row>
    <row r="5" spans="2:13">
      <c r="B5" s="20"/>
      <c r="C5" s="21"/>
      <c r="D5" s="21"/>
      <c r="E5" s="21"/>
      <c r="F5" s="21"/>
      <c r="G5" s="21"/>
      <c r="H5" s="21"/>
      <c r="I5" s="22"/>
      <c r="J5" s="21"/>
      <c r="K5" s="23"/>
      <c r="L5" s="24" t="s">
        <v>62</v>
      </c>
    </row>
    <row r="6" spans="2:13">
      <c r="B6" s="409" t="s">
        <v>12</v>
      </c>
      <c r="C6" s="409"/>
      <c r="D6" s="409"/>
      <c r="E6" s="409"/>
      <c r="F6" s="409"/>
      <c r="G6" s="409"/>
      <c r="H6" s="409"/>
      <c r="I6" s="409"/>
      <c r="J6" s="409"/>
      <c r="K6" s="409"/>
      <c r="L6" s="409"/>
    </row>
    <row r="7" spans="2:13">
      <c r="B7" s="87" t="s">
        <v>13</v>
      </c>
      <c r="C7" s="384" t="s">
        <v>14</v>
      </c>
      <c r="D7" s="384"/>
      <c r="E7" s="384"/>
      <c r="F7" s="384"/>
      <c r="G7" s="384"/>
      <c r="H7" s="384"/>
      <c r="I7" s="384"/>
      <c r="J7" s="384"/>
      <c r="K7" s="384"/>
      <c r="L7" s="26">
        <f>'Benef. e Insumos'!E10</f>
        <v>1547.12</v>
      </c>
    </row>
    <row r="8" spans="2:13">
      <c r="B8" s="99" t="s">
        <v>166</v>
      </c>
      <c r="C8" s="384" t="s">
        <v>167</v>
      </c>
      <c r="D8" s="384"/>
      <c r="E8" s="384"/>
      <c r="F8" s="384"/>
      <c r="G8" s="384"/>
      <c r="H8" s="384"/>
      <c r="I8" s="384"/>
      <c r="J8" s="384"/>
      <c r="K8" s="384"/>
      <c r="L8" s="26"/>
    </row>
    <row r="9" spans="2:13">
      <c r="B9" s="87" t="s">
        <v>15</v>
      </c>
      <c r="C9" s="384" t="s">
        <v>16</v>
      </c>
      <c r="D9" s="384"/>
      <c r="E9" s="384"/>
      <c r="F9" s="349" t="s">
        <v>17</v>
      </c>
      <c r="G9" s="349"/>
      <c r="H9" s="349"/>
      <c r="I9" s="349"/>
      <c r="J9" s="27" t="s">
        <v>18</v>
      </c>
      <c r="K9" s="28">
        <v>0</v>
      </c>
      <c r="L9" s="29">
        <v>0</v>
      </c>
      <c r="M9" s="30"/>
    </row>
    <row r="10" spans="2:13">
      <c r="B10" s="110" t="s">
        <v>19</v>
      </c>
      <c r="C10" s="367" t="s">
        <v>172</v>
      </c>
      <c r="D10" s="368"/>
      <c r="E10" s="368"/>
      <c r="F10" s="368"/>
      <c r="G10" s="368"/>
      <c r="H10" s="368"/>
      <c r="I10" s="369"/>
      <c r="J10" s="27" t="s">
        <v>18</v>
      </c>
      <c r="K10" s="28">
        <v>0</v>
      </c>
      <c r="L10" s="29">
        <v>0</v>
      </c>
      <c r="M10" s="30"/>
    </row>
    <row r="11" spans="2:13">
      <c r="B11" s="110" t="s">
        <v>21</v>
      </c>
      <c r="C11" s="367" t="s">
        <v>169</v>
      </c>
      <c r="D11" s="368"/>
      <c r="E11" s="368"/>
      <c r="F11" s="368"/>
      <c r="G11" s="368"/>
      <c r="H11" s="368"/>
      <c r="I11" s="369"/>
      <c r="J11" s="27" t="s">
        <v>18</v>
      </c>
      <c r="K11" s="28">
        <v>0</v>
      </c>
      <c r="L11" s="29">
        <v>0</v>
      </c>
      <c r="M11" s="30"/>
    </row>
    <row r="12" spans="2:13">
      <c r="B12" s="110" t="s">
        <v>23</v>
      </c>
      <c r="C12" s="367" t="s">
        <v>170</v>
      </c>
      <c r="D12" s="368"/>
      <c r="E12" s="368"/>
      <c r="F12" s="368"/>
      <c r="G12" s="368"/>
      <c r="H12" s="368"/>
      <c r="I12" s="369"/>
      <c r="J12" s="27" t="s">
        <v>18</v>
      </c>
      <c r="K12" s="28">
        <v>0</v>
      </c>
      <c r="L12" s="29">
        <v>0</v>
      </c>
      <c r="M12" s="30"/>
    </row>
    <row r="13" spans="2:13">
      <c r="B13" s="110" t="s">
        <v>6</v>
      </c>
      <c r="C13" s="367" t="s">
        <v>171</v>
      </c>
      <c r="D13" s="368"/>
      <c r="E13" s="368"/>
      <c r="F13" s="368"/>
      <c r="G13" s="368"/>
      <c r="H13" s="368"/>
      <c r="I13" s="369"/>
      <c r="J13" s="27" t="s">
        <v>18</v>
      </c>
      <c r="K13" s="28">
        <v>0</v>
      </c>
      <c r="L13" s="29">
        <v>0</v>
      </c>
      <c r="M13" s="30"/>
    </row>
    <row r="14" spans="2:13">
      <c r="B14" s="110" t="s">
        <v>24</v>
      </c>
      <c r="C14" s="399" t="s">
        <v>20</v>
      </c>
      <c r="D14" s="399"/>
      <c r="E14" s="399"/>
      <c r="F14" s="399"/>
      <c r="G14" s="399"/>
      <c r="H14" s="399"/>
      <c r="I14" s="399"/>
      <c r="J14" s="27" t="s">
        <v>18</v>
      </c>
      <c r="K14" s="31">
        <v>0</v>
      </c>
      <c r="L14" s="29">
        <v>0</v>
      </c>
      <c r="M14" s="30"/>
    </row>
    <row r="15" spans="2:13">
      <c r="B15" s="110" t="s">
        <v>25</v>
      </c>
      <c r="C15" s="416" t="s">
        <v>22</v>
      </c>
      <c r="D15" s="416"/>
      <c r="E15" s="416"/>
      <c r="F15" s="416"/>
      <c r="G15" s="416"/>
      <c r="H15" s="416"/>
      <c r="I15" s="416"/>
      <c r="J15" s="416"/>
      <c r="K15" s="416"/>
      <c r="L15" s="29">
        <v>0</v>
      </c>
      <c r="M15" s="30"/>
    </row>
    <row r="16" spans="2:13">
      <c r="B16" s="110" t="s">
        <v>168</v>
      </c>
      <c r="C16" s="453" t="s">
        <v>3</v>
      </c>
      <c r="D16" s="453"/>
      <c r="E16" s="453"/>
      <c r="F16" s="453"/>
      <c r="G16" s="453"/>
      <c r="H16" s="453"/>
      <c r="I16" s="453"/>
      <c r="J16" s="453"/>
      <c r="K16" s="453"/>
      <c r="L16" s="29"/>
      <c r="M16" s="30"/>
    </row>
    <row r="17" spans="2:13">
      <c r="B17" s="417" t="s">
        <v>220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120">
        <f>SUM(L7:L16)</f>
        <v>1547.12</v>
      </c>
      <c r="M17" s="32"/>
    </row>
    <row r="18" spans="2:13">
      <c r="B18" s="33"/>
      <c r="C18" s="33"/>
      <c r="D18" s="33"/>
      <c r="E18" s="33"/>
      <c r="F18" s="33"/>
      <c r="G18" s="33"/>
      <c r="H18" s="33"/>
      <c r="I18" s="34"/>
      <c r="J18" s="33"/>
      <c r="K18" s="33"/>
    </row>
    <row r="19" spans="2:13">
      <c r="B19" s="409" t="s">
        <v>173</v>
      </c>
      <c r="C19" s="409"/>
      <c r="D19" s="409"/>
      <c r="E19" s="409"/>
      <c r="F19" s="409"/>
      <c r="G19" s="409"/>
      <c r="H19" s="409"/>
      <c r="I19" s="409"/>
      <c r="J19" s="409"/>
      <c r="K19" s="409"/>
      <c r="L19" s="24" t="str">
        <f>L5</f>
        <v>SERVENTE</v>
      </c>
    </row>
    <row r="20" spans="2:13">
      <c r="B20" s="407" t="s">
        <v>174</v>
      </c>
      <c r="C20" s="408"/>
      <c r="D20" s="408"/>
      <c r="E20" s="408"/>
      <c r="F20" s="408"/>
      <c r="G20" s="408"/>
      <c r="H20" s="408"/>
      <c r="I20" s="408"/>
      <c r="J20" s="408"/>
      <c r="K20" s="112" t="s">
        <v>18</v>
      </c>
      <c r="L20" s="29" t="s">
        <v>178</v>
      </c>
    </row>
    <row r="21" spans="2:13">
      <c r="B21" s="110" t="s">
        <v>13</v>
      </c>
      <c r="C21" s="367" t="s">
        <v>175</v>
      </c>
      <c r="D21" s="368"/>
      <c r="E21" s="368"/>
      <c r="F21" s="368"/>
      <c r="G21" s="368"/>
      <c r="H21" s="368"/>
      <c r="I21" s="368"/>
      <c r="J21" s="369"/>
      <c r="K21" s="52">
        <v>8.3299999999999999E-2</v>
      </c>
      <c r="L21" s="29">
        <f>K21*L17</f>
        <v>128.87509599999998</v>
      </c>
    </row>
    <row r="22" spans="2:13">
      <c r="B22" s="110" t="s">
        <v>15</v>
      </c>
      <c r="C22" s="367" t="s">
        <v>176</v>
      </c>
      <c r="D22" s="368"/>
      <c r="E22" s="368"/>
      <c r="F22" s="368"/>
      <c r="G22" s="368"/>
      <c r="H22" s="368"/>
      <c r="I22" s="368"/>
      <c r="J22" s="369"/>
      <c r="K22" s="52">
        <v>2.7799999999999998E-2</v>
      </c>
      <c r="L22" s="29">
        <f>K22*L17</f>
        <v>43.009935999999996</v>
      </c>
    </row>
    <row r="23" spans="2:13">
      <c r="B23" s="449" t="s">
        <v>177</v>
      </c>
      <c r="C23" s="348"/>
      <c r="D23" s="348"/>
      <c r="E23" s="348"/>
      <c r="F23" s="348"/>
      <c r="G23" s="348"/>
      <c r="H23" s="348"/>
      <c r="I23" s="348"/>
      <c r="J23" s="450"/>
      <c r="K23" s="52">
        <f>SUM(K21:K22)</f>
        <v>0.1111</v>
      </c>
      <c r="L23" s="29">
        <f>SUM(L21:L22)</f>
        <v>171.88503199999997</v>
      </c>
    </row>
    <row r="24" spans="2:13">
      <c r="B24" s="113"/>
      <c r="C24" s="114"/>
      <c r="D24" s="114"/>
      <c r="E24" s="114"/>
      <c r="F24" s="114"/>
      <c r="G24" s="114"/>
      <c r="H24" s="114"/>
      <c r="I24" s="114"/>
      <c r="J24" s="115"/>
      <c r="K24" s="52"/>
      <c r="L24" s="29"/>
    </row>
    <row r="25" spans="2:13">
      <c r="B25" s="407" t="s">
        <v>179</v>
      </c>
      <c r="C25" s="408"/>
      <c r="D25" s="408"/>
      <c r="E25" s="408"/>
      <c r="F25" s="408"/>
      <c r="G25" s="408"/>
      <c r="H25" s="408"/>
      <c r="I25" s="408"/>
      <c r="J25" s="408"/>
      <c r="K25" s="112" t="s">
        <v>18</v>
      </c>
      <c r="L25" s="29" t="s">
        <v>178</v>
      </c>
    </row>
    <row r="26" spans="2:13">
      <c r="B26" s="92" t="s">
        <v>13</v>
      </c>
      <c r="C26" s="349" t="s">
        <v>26</v>
      </c>
      <c r="D26" s="349"/>
      <c r="E26" s="349"/>
      <c r="F26" s="349"/>
      <c r="G26" s="349"/>
      <c r="H26" s="349"/>
      <c r="I26" s="349"/>
      <c r="J26" s="349"/>
      <c r="K26" s="44">
        <v>0.2</v>
      </c>
      <c r="L26" s="45">
        <f>ROUND($K$26*L17,2)</f>
        <v>309.42</v>
      </c>
    </row>
    <row r="27" spans="2:13">
      <c r="B27" s="92" t="s">
        <v>15</v>
      </c>
      <c r="C27" s="349" t="s">
        <v>27</v>
      </c>
      <c r="D27" s="349"/>
      <c r="E27" s="349"/>
      <c r="F27" s="349"/>
      <c r="G27" s="349"/>
      <c r="H27" s="349"/>
      <c r="I27" s="349"/>
      <c r="J27" s="349"/>
      <c r="K27" s="44">
        <v>1.4999999999999999E-2</v>
      </c>
      <c r="L27" s="45">
        <f>ROUND($K$27*L17,2)</f>
        <v>23.21</v>
      </c>
    </row>
    <row r="28" spans="2:13">
      <c r="B28" s="92" t="s">
        <v>19</v>
      </c>
      <c r="C28" s="349" t="s">
        <v>28</v>
      </c>
      <c r="D28" s="349"/>
      <c r="E28" s="349"/>
      <c r="F28" s="349"/>
      <c r="G28" s="349"/>
      <c r="H28" s="349"/>
      <c r="I28" s="349"/>
      <c r="J28" s="349"/>
      <c r="K28" s="44">
        <v>0.01</v>
      </c>
      <c r="L28" s="45">
        <f>ROUND(K28*$L$17,2)</f>
        <v>15.47</v>
      </c>
    </row>
    <row r="29" spans="2:13">
      <c r="B29" s="92" t="s">
        <v>21</v>
      </c>
      <c r="C29" s="349" t="s">
        <v>29</v>
      </c>
      <c r="D29" s="349"/>
      <c r="E29" s="349"/>
      <c r="F29" s="349"/>
      <c r="G29" s="349"/>
      <c r="H29" s="349"/>
      <c r="I29" s="349"/>
      <c r="J29" s="349"/>
      <c r="K29" s="44">
        <v>2E-3</v>
      </c>
      <c r="L29" s="45">
        <f>ROUND(K29*$L$17,2)</f>
        <v>3.09</v>
      </c>
    </row>
    <row r="30" spans="2:13">
      <c r="B30" s="92" t="s">
        <v>23</v>
      </c>
      <c r="C30" s="349" t="s">
        <v>30</v>
      </c>
      <c r="D30" s="349"/>
      <c r="E30" s="349"/>
      <c r="F30" s="349"/>
      <c r="G30" s="349"/>
      <c r="H30" s="349"/>
      <c r="I30" s="349"/>
      <c r="J30" s="349"/>
      <c r="K30" s="44">
        <v>2.5000000000000001E-2</v>
      </c>
      <c r="L30" s="45">
        <f>ROUND(K30*$L$17,2)</f>
        <v>38.68</v>
      </c>
      <c r="M30" s="46"/>
    </row>
    <row r="31" spans="2:13">
      <c r="B31" s="92" t="s">
        <v>6</v>
      </c>
      <c r="C31" s="367" t="s">
        <v>165</v>
      </c>
      <c r="D31" s="369"/>
      <c r="E31" s="454">
        <v>0.08</v>
      </c>
      <c r="F31" s="455"/>
      <c r="G31" s="367" t="s">
        <v>164</v>
      </c>
      <c r="H31" s="368"/>
      <c r="I31" s="368"/>
      <c r="J31" s="369"/>
      <c r="K31" s="44">
        <f>E31*(1+(1/12)+(1/12/3))</f>
        <v>8.8888888888888878E-2</v>
      </c>
      <c r="L31" s="45">
        <f>ROUND(K31*($L$17+(1/3/12*L17)+(1/12*L17)),2)</f>
        <v>152.80000000000001</v>
      </c>
      <c r="M31" s="18" t="s">
        <v>180</v>
      </c>
    </row>
    <row r="32" spans="2:13">
      <c r="B32" s="92" t="s">
        <v>24</v>
      </c>
      <c r="C32" s="349" t="s">
        <v>31</v>
      </c>
      <c r="D32" s="349"/>
      <c r="E32" s="349"/>
      <c r="F32" s="349"/>
      <c r="G32" s="91" t="s">
        <v>32</v>
      </c>
      <c r="H32" s="48">
        <v>0.03</v>
      </c>
      <c r="I32" s="91" t="s">
        <v>33</v>
      </c>
      <c r="J32" s="81">
        <v>1</v>
      </c>
      <c r="K32" s="49">
        <f>H32*J32</f>
        <v>0.03</v>
      </c>
      <c r="L32" s="45">
        <f>ROUND(K32*$L$17,2)</f>
        <v>46.41</v>
      </c>
    </row>
    <row r="33" spans="2:20">
      <c r="B33" s="92" t="s">
        <v>25</v>
      </c>
      <c r="C33" s="349" t="s">
        <v>34</v>
      </c>
      <c r="D33" s="349"/>
      <c r="E33" s="349"/>
      <c r="F33" s="349"/>
      <c r="G33" s="349"/>
      <c r="H33" s="349"/>
      <c r="I33" s="349"/>
      <c r="J33" s="349"/>
      <c r="K33" s="44">
        <v>6.0000000000000001E-3</v>
      </c>
      <c r="L33" s="45">
        <f>ROUND(K33*$L$17,2)</f>
        <v>9.2799999999999994</v>
      </c>
      <c r="M33" s="19"/>
      <c r="N33" s="19"/>
      <c r="O33" s="19"/>
      <c r="P33" s="19"/>
      <c r="Q33" s="19"/>
      <c r="R33" s="19"/>
      <c r="S33" s="19"/>
      <c r="T33" s="19"/>
    </row>
    <row r="34" spans="2:20">
      <c r="B34" s="449" t="s">
        <v>181</v>
      </c>
      <c r="C34" s="348"/>
      <c r="D34" s="348"/>
      <c r="E34" s="348"/>
      <c r="F34" s="348"/>
      <c r="G34" s="348"/>
      <c r="H34" s="348"/>
      <c r="I34" s="348"/>
      <c r="J34" s="450"/>
      <c r="K34" s="52">
        <f>SUM(K26:K33)</f>
        <v>0.37688888888888894</v>
      </c>
      <c r="L34" s="29">
        <f>SUM(L26:L33)</f>
        <v>598.36</v>
      </c>
      <c r="M34" s="19"/>
      <c r="N34" s="19"/>
      <c r="O34" s="19"/>
      <c r="P34" s="19"/>
      <c r="Q34" s="19"/>
      <c r="R34" s="19"/>
      <c r="S34" s="19"/>
      <c r="T34" s="19"/>
    </row>
    <row r="35" spans="2:20">
      <c r="B35" s="113"/>
      <c r="C35" s="114"/>
      <c r="D35" s="114"/>
      <c r="E35" s="114"/>
      <c r="F35" s="114"/>
      <c r="G35" s="114"/>
      <c r="H35" s="114"/>
      <c r="I35" s="114"/>
      <c r="J35" s="115"/>
      <c r="K35" s="52"/>
      <c r="L35" s="29"/>
      <c r="M35" s="19"/>
      <c r="N35" s="19"/>
      <c r="O35" s="19"/>
      <c r="P35" s="19"/>
      <c r="Q35" s="19"/>
      <c r="R35" s="19"/>
      <c r="S35" s="19"/>
      <c r="T35" s="19"/>
    </row>
    <row r="36" spans="2:20">
      <c r="B36" s="407" t="s">
        <v>182</v>
      </c>
      <c r="C36" s="408"/>
      <c r="D36" s="408"/>
      <c r="E36" s="408"/>
      <c r="F36" s="408"/>
      <c r="G36" s="408"/>
      <c r="H36" s="408"/>
      <c r="I36" s="408"/>
      <c r="J36" s="408"/>
      <c r="K36" s="112"/>
      <c r="L36" s="29" t="s">
        <v>178</v>
      </c>
    </row>
    <row r="37" spans="2:20">
      <c r="B37" s="87" t="s">
        <v>13</v>
      </c>
      <c r="C37" s="367" t="str">
        <f>'Benef. e Insumos'!B19</f>
        <v xml:space="preserve">CLÁUSULA SÉTIMA - CESTA BÁSICA </v>
      </c>
      <c r="D37" s="368"/>
      <c r="E37" s="368"/>
      <c r="F37" s="368"/>
      <c r="G37" s="368"/>
      <c r="H37" s="368"/>
      <c r="I37" s="368"/>
      <c r="J37" s="369"/>
      <c r="K37" s="100"/>
      <c r="L37" s="29">
        <f>'Benef. e Insumos'!D21</f>
        <v>0</v>
      </c>
    </row>
    <row r="38" spans="2:20">
      <c r="B38" s="87" t="s">
        <v>15</v>
      </c>
      <c r="C38" s="367" t="str">
        <f>'Benef. e Insumos'!B13</f>
        <v>CLÁUSULA SÉTIMA - TÍQUETE REFEIÇÃO</v>
      </c>
      <c r="D38" s="368"/>
      <c r="E38" s="368"/>
      <c r="F38" s="368"/>
      <c r="G38" s="368"/>
      <c r="H38" s="368"/>
      <c r="I38" s="368"/>
      <c r="J38" s="369"/>
      <c r="K38" s="100"/>
      <c r="L38" s="29">
        <f>'Benef. e Insumos'!H17</f>
        <v>300.12</v>
      </c>
    </row>
    <row r="39" spans="2:20">
      <c r="B39" s="87" t="s">
        <v>19</v>
      </c>
      <c r="C39" s="367" t="e">
        <f>'Benef. e Insumos'!#REF!</f>
        <v>#REF!</v>
      </c>
      <c r="D39" s="368"/>
      <c r="E39" s="368"/>
      <c r="F39" s="368"/>
      <c r="G39" s="368"/>
      <c r="H39" s="368"/>
      <c r="I39" s="368"/>
      <c r="J39" s="369"/>
      <c r="K39" s="100"/>
      <c r="L39" s="29" t="e">
        <f>'Benef. e Insumos'!#REF!</f>
        <v>#REF!</v>
      </c>
    </row>
    <row r="40" spans="2:20">
      <c r="B40" s="99" t="s">
        <v>21</v>
      </c>
      <c r="C40" s="367" t="e">
        <f>'Benef. e Insumos'!#REF!</f>
        <v>#REF!</v>
      </c>
      <c r="D40" s="368"/>
      <c r="E40" s="368"/>
      <c r="F40" s="368"/>
      <c r="G40" s="368"/>
      <c r="H40" s="368"/>
      <c r="I40" s="368"/>
      <c r="J40" s="369"/>
      <c r="K40" s="100"/>
      <c r="L40" s="29" t="e">
        <f>'Benef. e Insumos'!#REF!</f>
        <v>#REF!</v>
      </c>
    </row>
    <row r="41" spans="2:20">
      <c r="B41" s="99" t="s">
        <v>23</v>
      </c>
      <c r="C41" s="367" t="e">
        <f>'Benef. e Insumos'!#REF!</f>
        <v>#REF!</v>
      </c>
      <c r="D41" s="368"/>
      <c r="E41" s="368"/>
      <c r="F41" s="368"/>
      <c r="G41" s="368"/>
      <c r="H41" s="368"/>
      <c r="I41" s="368"/>
      <c r="J41" s="369"/>
      <c r="K41" s="101"/>
      <c r="L41" s="29" t="e">
        <f>'Benef. e Insumos'!#REF!</f>
        <v>#REF!</v>
      </c>
    </row>
    <row r="42" spans="2:20">
      <c r="B42" s="99" t="s">
        <v>6</v>
      </c>
      <c r="C42" s="367" t="e">
        <f>'Benef. e Insumos'!#REF!</f>
        <v>#REF!</v>
      </c>
      <c r="D42" s="368"/>
      <c r="E42" s="368"/>
      <c r="F42" s="368"/>
      <c r="G42" s="368"/>
      <c r="H42" s="368"/>
      <c r="I42" s="368"/>
      <c r="J42" s="369"/>
      <c r="K42" s="102"/>
      <c r="L42" s="29" t="e">
        <f>'Benef. e Insumos'!#REF!</f>
        <v>#REF!</v>
      </c>
    </row>
    <row r="43" spans="2:20">
      <c r="B43" s="99" t="s">
        <v>24</v>
      </c>
      <c r="C43" s="367" t="str">
        <f>'Benef. e Insumos'!B27</f>
        <v xml:space="preserve"> AUXÍLIO TRANSPORTE</v>
      </c>
      <c r="D43" s="368"/>
      <c r="E43" s="368"/>
      <c r="F43" s="368"/>
      <c r="G43" s="368"/>
      <c r="H43" s="368"/>
      <c r="I43" s="368"/>
      <c r="J43" s="369"/>
      <c r="K43" s="102"/>
      <c r="L43" s="29">
        <f>'Benef. e Insumos'!G29</f>
        <v>21.172800000000009</v>
      </c>
    </row>
    <row r="44" spans="2:20">
      <c r="B44" s="99" t="s">
        <v>25</v>
      </c>
      <c r="C44" s="453" t="s">
        <v>3</v>
      </c>
      <c r="D44" s="453"/>
      <c r="E44" s="453"/>
      <c r="F44" s="453"/>
      <c r="G44" s="453"/>
      <c r="H44" s="453"/>
      <c r="I44" s="453"/>
      <c r="J44" s="453"/>
      <c r="K44" s="453"/>
      <c r="L44" s="36">
        <v>0</v>
      </c>
    </row>
    <row r="45" spans="2:20">
      <c r="B45" s="449" t="s">
        <v>184</v>
      </c>
      <c r="C45" s="348"/>
      <c r="D45" s="348"/>
      <c r="E45" s="348"/>
      <c r="F45" s="348"/>
      <c r="G45" s="348"/>
      <c r="H45" s="348"/>
      <c r="I45" s="348"/>
      <c r="J45" s="450"/>
      <c r="K45" s="52"/>
      <c r="L45" s="29" t="e">
        <f>SUM(L37:L44)</f>
        <v>#REF!</v>
      </c>
    </row>
    <row r="46" spans="2:20">
      <c r="B46" s="113"/>
      <c r="C46" s="114"/>
      <c r="D46" s="114"/>
      <c r="E46" s="114"/>
      <c r="F46" s="114"/>
      <c r="G46" s="114"/>
      <c r="H46" s="114"/>
      <c r="I46" s="114"/>
      <c r="J46" s="115"/>
      <c r="K46" s="52"/>
      <c r="L46" s="29"/>
    </row>
    <row r="47" spans="2:20">
      <c r="B47" s="393" t="s">
        <v>185</v>
      </c>
      <c r="C47" s="393"/>
      <c r="D47" s="393"/>
      <c r="E47" s="393"/>
      <c r="F47" s="393"/>
      <c r="G47" s="393"/>
      <c r="H47" s="393"/>
      <c r="I47" s="393"/>
      <c r="J47" s="393"/>
      <c r="K47" s="393"/>
      <c r="L47" s="24" t="str">
        <f>L5</f>
        <v>SERVENTE</v>
      </c>
    </row>
    <row r="48" spans="2:20">
      <c r="B48" s="110" t="s">
        <v>186</v>
      </c>
      <c r="C48" s="367" t="s">
        <v>189</v>
      </c>
      <c r="D48" s="368"/>
      <c r="E48" s="368"/>
      <c r="F48" s="368"/>
      <c r="G48" s="368"/>
      <c r="H48" s="368"/>
      <c r="I48" s="368"/>
      <c r="J48" s="369"/>
      <c r="K48" s="100"/>
      <c r="L48" s="29">
        <f>L23</f>
        <v>171.88503199999997</v>
      </c>
    </row>
    <row r="49" spans="2:12">
      <c r="B49" s="110" t="s">
        <v>187</v>
      </c>
      <c r="C49" s="367" t="s">
        <v>190</v>
      </c>
      <c r="D49" s="368"/>
      <c r="E49" s="368"/>
      <c r="F49" s="368"/>
      <c r="G49" s="368"/>
      <c r="H49" s="368"/>
      <c r="I49" s="368"/>
      <c r="J49" s="369"/>
      <c r="K49" s="100"/>
      <c r="L49" s="29">
        <f>L34</f>
        <v>598.36</v>
      </c>
    </row>
    <row r="50" spans="2:12">
      <c r="B50" s="110" t="s">
        <v>188</v>
      </c>
      <c r="C50" s="367" t="s">
        <v>192</v>
      </c>
      <c r="D50" s="368"/>
      <c r="E50" s="368"/>
      <c r="F50" s="368"/>
      <c r="G50" s="368"/>
      <c r="H50" s="368"/>
      <c r="I50" s="368"/>
      <c r="J50" s="369"/>
      <c r="K50" s="100"/>
      <c r="L50" s="29" t="e">
        <f>L45</f>
        <v>#REF!</v>
      </c>
    </row>
    <row r="51" spans="2:12">
      <c r="B51" s="355" t="s">
        <v>191</v>
      </c>
      <c r="C51" s="356"/>
      <c r="D51" s="356"/>
      <c r="E51" s="356"/>
      <c r="F51" s="356"/>
      <c r="G51" s="356"/>
      <c r="H51" s="356"/>
      <c r="I51" s="356"/>
      <c r="J51" s="357"/>
      <c r="K51" s="121"/>
      <c r="L51" s="122" t="e">
        <f>SUM(L48:L50)</f>
        <v>#REF!</v>
      </c>
    </row>
    <row r="52" spans="2:12">
      <c r="B52" s="350"/>
      <c r="C52" s="351"/>
      <c r="D52" s="351"/>
      <c r="E52" s="351"/>
      <c r="F52" s="351"/>
      <c r="G52" s="351"/>
      <c r="H52" s="351"/>
      <c r="I52" s="351"/>
      <c r="J52" s="351"/>
      <c r="K52" s="351"/>
      <c r="L52" s="351"/>
    </row>
    <row r="53" spans="2:12">
      <c r="B53" s="409" t="s">
        <v>183</v>
      </c>
      <c r="C53" s="409"/>
      <c r="D53" s="409"/>
      <c r="E53" s="409"/>
      <c r="F53" s="409"/>
      <c r="G53" s="409"/>
      <c r="H53" s="409"/>
      <c r="I53" s="409"/>
      <c r="J53" s="409"/>
      <c r="K53" s="117" t="s">
        <v>18</v>
      </c>
      <c r="L53" s="118" t="s">
        <v>178</v>
      </c>
    </row>
    <row r="54" spans="2:12">
      <c r="B54" s="87" t="s">
        <v>13</v>
      </c>
      <c r="C54" s="349" t="s">
        <v>35</v>
      </c>
      <c r="D54" s="349"/>
      <c r="E54" s="349"/>
      <c r="F54" s="349"/>
      <c r="G54" s="349"/>
      <c r="H54" s="349"/>
      <c r="I54" s="56">
        <v>30</v>
      </c>
      <c r="J54" s="57">
        <v>0.05</v>
      </c>
      <c r="K54" s="52">
        <f>I54/30/12*J54</f>
        <v>4.1666666666666666E-3</v>
      </c>
      <c r="L54" s="29">
        <f t="shared" ref="L54:L59" si="0">ROUND(K54*$L$17,2)</f>
        <v>6.45</v>
      </c>
    </row>
    <row r="55" spans="2:12">
      <c r="B55" s="87" t="s">
        <v>15</v>
      </c>
      <c r="C55" s="349" t="s">
        <v>36</v>
      </c>
      <c r="D55" s="349"/>
      <c r="E55" s="349"/>
      <c r="F55" s="349"/>
      <c r="G55" s="349"/>
      <c r="H55" s="349"/>
      <c r="I55" s="349"/>
      <c r="J55" s="349"/>
      <c r="K55" s="52">
        <f>K31*K54</f>
        <v>3.703703703703703E-4</v>
      </c>
      <c r="L55" s="29">
        <f t="shared" si="0"/>
        <v>0.56999999999999995</v>
      </c>
    </row>
    <row r="56" spans="2:12">
      <c r="B56" s="110" t="s">
        <v>19</v>
      </c>
      <c r="C56" s="349" t="s">
        <v>194</v>
      </c>
      <c r="D56" s="349"/>
      <c r="E56" s="349"/>
      <c r="F56" s="349"/>
      <c r="G56" s="349"/>
      <c r="H56" s="349"/>
      <c r="I56" s="349"/>
      <c r="J56" s="349"/>
      <c r="K56" s="52">
        <f>0.5*K55</f>
        <v>1.8518518518518515E-4</v>
      </c>
      <c r="L56" s="29">
        <f t="shared" si="0"/>
        <v>0.28999999999999998</v>
      </c>
    </row>
    <row r="57" spans="2:12">
      <c r="B57" s="110" t="s">
        <v>21</v>
      </c>
      <c r="C57" s="349" t="s">
        <v>196</v>
      </c>
      <c r="D57" s="349"/>
      <c r="E57" s="349"/>
      <c r="F57" s="349"/>
      <c r="G57" s="349"/>
      <c r="H57" s="349"/>
      <c r="I57" s="349"/>
      <c r="J57" s="349"/>
      <c r="K57" s="52">
        <v>4.0000000000000002E-4</v>
      </c>
      <c r="L57" s="29">
        <f t="shared" si="0"/>
        <v>0.62</v>
      </c>
    </row>
    <row r="58" spans="2:12">
      <c r="B58" s="110" t="s">
        <v>23</v>
      </c>
      <c r="C58" s="349" t="s">
        <v>195</v>
      </c>
      <c r="D58" s="349"/>
      <c r="E58" s="349"/>
      <c r="F58" s="349"/>
      <c r="G58" s="349"/>
      <c r="H58" s="349"/>
      <c r="I58" s="349"/>
      <c r="J58" s="349"/>
      <c r="K58" s="52">
        <f>K34*K57</f>
        <v>1.5075555555555558E-4</v>
      </c>
      <c r="L58" s="29">
        <f t="shared" si="0"/>
        <v>0.23</v>
      </c>
    </row>
    <row r="59" spans="2:12">
      <c r="B59" s="110" t="s">
        <v>6</v>
      </c>
      <c r="C59" s="349" t="s">
        <v>197</v>
      </c>
      <c r="D59" s="349"/>
      <c r="E59" s="349"/>
      <c r="F59" s="349"/>
      <c r="G59" s="349"/>
      <c r="H59" s="349"/>
      <c r="I59" s="349"/>
      <c r="J59" s="349"/>
      <c r="K59" s="116">
        <f>0.5*0.08*K57</f>
        <v>1.6000000000000003E-5</v>
      </c>
      <c r="L59" s="29">
        <f t="shared" si="0"/>
        <v>0.02</v>
      </c>
    </row>
    <row r="60" spans="2:12" ht="15" customHeight="1">
      <c r="B60" s="355" t="s">
        <v>193</v>
      </c>
      <c r="C60" s="356"/>
      <c r="D60" s="356"/>
      <c r="E60" s="356"/>
      <c r="F60" s="356"/>
      <c r="G60" s="356"/>
      <c r="H60" s="356"/>
      <c r="I60" s="356"/>
      <c r="J60" s="357"/>
      <c r="K60" s="121"/>
      <c r="L60" s="122">
        <f>SUM(L54:L59)</f>
        <v>8.18</v>
      </c>
    </row>
    <row r="61" spans="2:12">
      <c r="B61" s="37"/>
      <c r="C61" s="33"/>
      <c r="D61" s="33"/>
      <c r="E61" s="37"/>
      <c r="F61" s="37"/>
      <c r="G61" s="37"/>
      <c r="H61" s="37"/>
      <c r="I61" s="38"/>
      <c r="J61" s="39"/>
      <c r="K61" s="37"/>
    </row>
    <row r="62" spans="2:12">
      <c r="B62" s="409" t="s">
        <v>198</v>
      </c>
      <c r="C62" s="409"/>
      <c r="D62" s="409"/>
      <c r="E62" s="409"/>
      <c r="F62" s="409"/>
      <c r="G62" s="409"/>
      <c r="H62" s="409"/>
      <c r="I62" s="409"/>
      <c r="J62" s="409"/>
      <c r="K62" s="117"/>
      <c r="L62" s="118"/>
    </row>
    <row r="63" spans="2:12">
      <c r="B63" s="407" t="s">
        <v>203</v>
      </c>
      <c r="C63" s="408"/>
      <c r="D63" s="408"/>
      <c r="E63" s="408"/>
      <c r="F63" s="408"/>
      <c r="G63" s="408"/>
      <c r="H63" s="408"/>
      <c r="I63" s="408"/>
      <c r="J63" s="408"/>
      <c r="K63" s="112" t="s">
        <v>18</v>
      </c>
      <c r="L63" s="29" t="s">
        <v>178</v>
      </c>
    </row>
    <row r="64" spans="2:12">
      <c r="B64" s="87" t="s">
        <v>13</v>
      </c>
      <c r="C64" s="384" t="s">
        <v>199</v>
      </c>
      <c r="D64" s="384"/>
      <c r="E64" s="384"/>
      <c r="F64" s="384"/>
      <c r="G64" s="384"/>
      <c r="H64" s="384"/>
      <c r="I64" s="384"/>
      <c r="J64" s="384"/>
      <c r="K64" s="59">
        <f>1/12</f>
        <v>8.3333333333333329E-2</v>
      </c>
      <c r="L64" s="29">
        <f>K64*$L$17</f>
        <v>128.92666666666665</v>
      </c>
    </row>
    <row r="65" spans="2:13">
      <c r="B65" s="87" t="s">
        <v>15</v>
      </c>
      <c r="C65" s="349" t="s">
        <v>200</v>
      </c>
      <c r="D65" s="349"/>
      <c r="E65" s="349"/>
      <c r="F65" s="349"/>
      <c r="G65" s="451" t="s">
        <v>38</v>
      </c>
      <c r="H65" s="451"/>
      <c r="I65" s="451"/>
      <c r="J65" s="60">
        <v>3</v>
      </c>
      <c r="K65" s="59">
        <f>J65/30/12</f>
        <v>8.3333333333333332E-3</v>
      </c>
      <c r="L65" s="29">
        <f>K65*$L$17</f>
        <v>12.892666666666665</v>
      </c>
      <c r="M65" s="18" t="s">
        <v>180</v>
      </c>
    </row>
    <row r="66" spans="2:13">
      <c r="B66" s="87" t="s">
        <v>19</v>
      </c>
      <c r="C66" s="349" t="s">
        <v>39</v>
      </c>
      <c r="D66" s="349"/>
      <c r="E66" s="349"/>
      <c r="F66" s="349"/>
      <c r="G66" s="451" t="s">
        <v>37</v>
      </c>
      <c r="H66" s="451"/>
      <c r="I66" s="54">
        <v>1.4999999999999999E-2</v>
      </c>
      <c r="J66" s="61">
        <v>5</v>
      </c>
      <c r="K66" s="59">
        <f>J66/30/12*I66</f>
        <v>2.0833333333333332E-4</v>
      </c>
      <c r="L66" s="29">
        <f t="shared" ref="L66:L69" si="1">K66*$L$17</f>
        <v>0.32231666666666664</v>
      </c>
    </row>
    <row r="67" spans="2:13">
      <c r="B67" s="87" t="s">
        <v>21</v>
      </c>
      <c r="C67" s="451" t="s">
        <v>201</v>
      </c>
      <c r="D67" s="451"/>
      <c r="E67" s="451"/>
      <c r="F67" s="60"/>
      <c r="G67" s="451" t="s">
        <v>37</v>
      </c>
      <c r="H67" s="451"/>
      <c r="I67" s="54">
        <v>7.7999999999999996E-3</v>
      </c>
      <c r="J67" s="62">
        <v>15</v>
      </c>
      <c r="K67" s="59">
        <f>J67/30/12*I67</f>
        <v>3.2499999999999999E-4</v>
      </c>
      <c r="L67" s="29">
        <f t="shared" si="1"/>
        <v>0.50281399999999998</v>
      </c>
    </row>
    <row r="68" spans="2:13">
      <c r="B68" s="87" t="s">
        <v>23</v>
      </c>
      <c r="C68" s="451" t="s">
        <v>202</v>
      </c>
      <c r="D68" s="451"/>
      <c r="E68" s="451"/>
      <c r="F68" s="60"/>
      <c r="G68" s="452"/>
      <c r="H68" s="451"/>
      <c r="I68" s="54"/>
      <c r="J68" s="62"/>
      <c r="K68" s="59">
        <v>6.1000000000000004E-3</v>
      </c>
      <c r="L68" s="29">
        <f t="shared" si="1"/>
        <v>9.4374319999999994</v>
      </c>
      <c r="M68" s="82" t="s">
        <v>180</v>
      </c>
    </row>
    <row r="69" spans="2:13">
      <c r="B69" s="87" t="s">
        <v>6</v>
      </c>
      <c r="C69" s="453" t="s">
        <v>3</v>
      </c>
      <c r="D69" s="453"/>
      <c r="E69" s="453" t="s">
        <v>40</v>
      </c>
      <c r="F69" s="453"/>
      <c r="G69" s="453"/>
      <c r="H69" s="453"/>
      <c r="I69" s="453"/>
      <c r="J69" s="453"/>
      <c r="K69" s="63"/>
      <c r="L69" s="29">
        <f t="shared" si="1"/>
        <v>0</v>
      </c>
      <c r="M69" s="82"/>
    </row>
    <row r="70" spans="2:13">
      <c r="B70" s="449" t="s">
        <v>204</v>
      </c>
      <c r="C70" s="348"/>
      <c r="D70" s="348"/>
      <c r="E70" s="348"/>
      <c r="F70" s="348"/>
      <c r="G70" s="348"/>
      <c r="H70" s="348"/>
      <c r="I70" s="348"/>
      <c r="J70" s="450"/>
      <c r="K70" s="64"/>
      <c r="L70" s="29">
        <f>SUM(L64:L69)</f>
        <v>152.08189599999997</v>
      </c>
    </row>
    <row r="71" spans="2:13">
      <c r="B71" s="113"/>
      <c r="C71" s="114"/>
      <c r="D71" s="114"/>
      <c r="E71" s="114"/>
      <c r="F71" s="114"/>
      <c r="G71" s="114"/>
      <c r="H71" s="114"/>
      <c r="I71" s="114"/>
      <c r="J71" s="115"/>
      <c r="K71" s="52"/>
      <c r="L71" s="29"/>
    </row>
    <row r="72" spans="2:13">
      <c r="B72" s="407" t="s">
        <v>205</v>
      </c>
      <c r="C72" s="408"/>
      <c r="D72" s="408"/>
      <c r="E72" s="408"/>
      <c r="F72" s="408"/>
      <c r="G72" s="408"/>
      <c r="H72" s="408"/>
      <c r="I72" s="408"/>
      <c r="J72" s="408"/>
      <c r="K72" s="112" t="s">
        <v>18</v>
      </c>
      <c r="L72" s="29" t="s">
        <v>178</v>
      </c>
    </row>
    <row r="73" spans="2:13">
      <c r="B73" s="110" t="s">
        <v>13</v>
      </c>
      <c r="C73" s="384" t="s">
        <v>206</v>
      </c>
      <c r="D73" s="384"/>
      <c r="E73" s="384"/>
      <c r="F73" s="384"/>
      <c r="G73" s="384"/>
      <c r="H73" s="384"/>
      <c r="I73" s="384"/>
      <c r="J73" s="384"/>
      <c r="K73" s="59">
        <v>0</v>
      </c>
      <c r="L73" s="29">
        <f>K73*$L$17</f>
        <v>0</v>
      </c>
    </row>
    <row r="74" spans="2:13">
      <c r="B74" s="449" t="s">
        <v>207</v>
      </c>
      <c r="C74" s="348"/>
      <c r="D74" s="348"/>
      <c r="E74" s="348"/>
      <c r="F74" s="348"/>
      <c r="G74" s="348"/>
      <c r="H74" s="348"/>
      <c r="I74" s="348"/>
      <c r="J74" s="450"/>
      <c r="K74" s="64"/>
      <c r="L74" s="29">
        <f>SUM(L73:L73)</f>
        <v>0</v>
      </c>
    </row>
    <row r="75" spans="2:13">
      <c r="B75" s="113"/>
      <c r="C75" s="114"/>
      <c r="D75" s="114"/>
      <c r="E75" s="114"/>
      <c r="F75" s="114"/>
      <c r="G75" s="114"/>
      <c r="H75" s="114"/>
      <c r="I75" s="114"/>
      <c r="J75" s="114"/>
      <c r="K75" s="119"/>
      <c r="L75" s="29"/>
    </row>
    <row r="76" spans="2:13">
      <c r="B76" s="393" t="s">
        <v>208</v>
      </c>
      <c r="C76" s="393"/>
      <c r="D76" s="393"/>
      <c r="E76" s="393"/>
      <c r="F76" s="393"/>
      <c r="G76" s="393"/>
      <c r="H76" s="393"/>
      <c r="I76" s="393"/>
      <c r="J76" s="393"/>
      <c r="K76" s="393"/>
      <c r="L76" s="24">
        <f>L34</f>
        <v>598.36</v>
      </c>
    </row>
    <row r="77" spans="2:13">
      <c r="B77" s="110" t="s">
        <v>209</v>
      </c>
      <c r="C77" s="367" t="s">
        <v>200</v>
      </c>
      <c r="D77" s="368"/>
      <c r="E77" s="368"/>
      <c r="F77" s="368"/>
      <c r="G77" s="368"/>
      <c r="H77" s="368"/>
      <c r="I77" s="368"/>
      <c r="J77" s="369"/>
      <c r="K77" s="100"/>
      <c r="L77" s="29">
        <f>L70</f>
        <v>152.08189599999997</v>
      </c>
    </row>
    <row r="78" spans="2:13">
      <c r="B78" s="110" t="s">
        <v>210</v>
      </c>
      <c r="C78" s="367" t="s">
        <v>211</v>
      </c>
      <c r="D78" s="368"/>
      <c r="E78" s="368"/>
      <c r="F78" s="368"/>
      <c r="G78" s="368"/>
      <c r="H78" s="368"/>
      <c r="I78" s="368"/>
      <c r="J78" s="369"/>
      <c r="K78" s="100"/>
      <c r="L78" s="29">
        <f>L74</f>
        <v>0</v>
      </c>
    </row>
    <row r="79" spans="2:13">
      <c r="B79" s="355" t="s">
        <v>212</v>
      </c>
      <c r="C79" s="356"/>
      <c r="D79" s="356"/>
      <c r="E79" s="356"/>
      <c r="F79" s="356"/>
      <c r="G79" s="356"/>
      <c r="H79" s="356"/>
      <c r="I79" s="356"/>
      <c r="J79" s="357"/>
      <c r="K79" s="121"/>
      <c r="L79" s="122">
        <f>SUM(L77:L78)</f>
        <v>152.08189599999997</v>
      </c>
    </row>
    <row r="80" spans="2:13">
      <c r="B80" s="350"/>
      <c r="C80" s="351"/>
      <c r="D80" s="351"/>
      <c r="E80" s="351"/>
      <c r="F80" s="351"/>
      <c r="G80" s="351"/>
      <c r="H80" s="351"/>
      <c r="I80" s="351"/>
      <c r="J80" s="351"/>
      <c r="K80" s="351"/>
      <c r="L80" s="351"/>
    </row>
    <row r="81" spans="2:13">
      <c r="B81" s="409" t="s">
        <v>213</v>
      </c>
      <c r="C81" s="409"/>
      <c r="D81" s="409"/>
      <c r="E81" s="409"/>
      <c r="F81" s="409"/>
      <c r="G81" s="409"/>
      <c r="H81" s="409"/>
      <c r="I81" s="409"/>
      <c r="J81" s="409"/>
      <c r="K81" s="117"/>
      <c r="L81" s="118"/>
      <c r="M81" s="40"/>
    </row>
    <row r="82" spans="2:13">
      <c r="B82" s="87" t="s">
        <v>13</v>
      </c>
      <c r="C82" s="427" t="s">
        <v>66</v>
      </c>
      <c r="D82" s="427"/>
      <c r="E82" s="427"/>
      <c r="F82" s="427"/>
      <c r="G82" s="427"/>
      <c r="H82" s="427"/>
      <c r="I82" s="427"/>
      <c r="J82" s="427"/>
      <c r="K82" s="427"/>
      <c r="L82" s="29">
        <f>'Benef. e Insumos'!H54</f>
        <v>89.157499999999999</v>
      </c>
    </row>
    <row r="83" spans="2:13">
      <c r="B83" s="87" t="s">
        <v>15</v>
      </c>
      <c r="C83" s="374" t="s">
        <v>215</v>
      </c>
      <c r="D83" s="426"/>
      <c r="E83" s="441" t="s">
        <v>67</v>
      </c>
      <c r="F83" s="442"/>
      <c r="G83" s="442"/>
      <c r="H83" s="442"/>
      <c r="I83" s="443"/>
      <c r="J83" s="462">
        <v>0.12</v>
      </c>
      <c r="K83" s="463"/>
      <c r="L83" s="36" t="e">
        <f>(L17+L51+L60+L79+L82)/(1-J83)*J83</f>
        <v>#REF!</v>
      </c>
      <c r="M83" s="41"/>
    </row>
    <row r="84" spans="2:13">
      <c r="B84" s="111" t="s">
        <v>222</v>
      </c>
      <c r="C84" s="374" t="s">
        <v>223</v>
      </c>
      <c r="D84" s="426"/>
      <c r="E84" s="441"/>
      <c r="F84" s="442"/>
      <c r="G84" s="442"/>
      <c r="H84" s="442"/>
      <c r="I84" s="443"/>
      <c r="J84" s="444">
        <f>H95+H96</f>
        <v>9.2499999999999999E-2</v>
      </c>
      <c r="K84" s="445"/>
      <c r="L84" s="36" t="e">
        <f>-J84*L83</f>
        <v>#REF!</v>
      </c>
      <c r="M84" s="41"/>
    </row>
    <row r="85" spans="2:13">
      <c r="B85" s="110" t="s">
        <v>19</v>
      </c>
      <c r="C85" s="103" t="s">
        <v>214</v>
      </c>
      <c r="D85" s="104"/>
      <c r="E85" s="105"/>
      <c r="F85" s="106"/>
      <c r="G85" s="106"/>
      <c r="H85" s="106"/>
      <c r="I85" s="107"/>
      <c r="J85" s="108"/>
      <c r="K85" s="109"/>
      <c r="L85" s="36"/>
      <c r="M85" s="41"/>
    </row>
    <row r="86" spans="2:13">
      <c r="B86" s="87" t="s">
        <v>216</v>
      </c>
      <c r="C86" s="453" t="s">
        <v>3</v>
      </c>
      <c r="D86" s="453"/>
      <c r="E86" s="453"/>
      <c r="F86" s="453"/>
      <c r="G86" s="453"/>
      <c r="H86" s="453"/>
      <c r="I86" s="453"/>
      <c r="J86" s="453"/>
      <c r="K86" s="453"/>
      <c r="L86" s="36">
        <v>0</v>
      </c>
    </row>
    <row r="87" spans="2:13">
      <c r="B87" s="355" t="s">
        <v>219</v>
      </c>
      <c r="C87" s="356"/>
      <c r="D87" s="356"/>
      <c r="E87" s="356"/>
      <c r="F87" s="356"/>
      <c r="G87" s="356"/>
      <c r="H87" s="356"/>
      <c r="I87" s="356"/>
      <c r="J87" s="357"/>
      <c r="K87" s="121"/>
      <c r="L87" s="122" t="e">
        <f>SUM(L82:L86)</f>
        <v>#REF!</v>
      </c>
    </row>
    <row r="88" spans="2:13">
      <c r="B88" s="42"/>
      <c r="C88" s="42"/>
      <c r="D88" s="42"/>
      <c r="E88" s="42"/>
      <c r="F88" s="42"/>
      <c r="G88" s="42"/>
      <c r="H88" s="42"/>
      <c r="I88" s="89"/>
      <c r="J88" s="42"/>
      <c r="K88" s="42"/>
    </row>
    <row r="89" spans="2:13">
      <c r="B89" s="33"/>
      <c r="C89" s="33"/>
      <c r="D89" s="33"/>
      <c r="E89" s="33"/>
      <c r="F89" s="33"/>
      <c r="G89" s="33"/>
      <c r="H89" s="66"/>
      <c r="I89" s="66"/>
      <c r="J89" s="66"/>
      <c r="K89" s="66"/>
      <c r="L89" s="67"/>
    </row>
    <row r="90" spans="2:13">
      <c r="B90" s="409" t="s">
        <v>217</v>
      </c>
      <c r="C90" s="409"/>
      <c r="D90" s="409"/>
      <c r="E90" s="409"/>
      <c r="F90" s="409"/>
      <c r="G90" s="409"/>
      <c r="H90" s="409"/>
      <c r="I90" s="409"/>
      <c r="J90" s="409"/>
      <c r="K90" s="117"/>
      <c r="L90" s="118" t="str">
        <f>L5</f>
        <v>SERVENTE</v>
      </c>
    </row>
    <row r="91" spans="2:13">
      <c r="B91" s="87" t="s">
        <v>13</v>
      </c>
      <c r="C91" s="384" t="s">
        <v>218</v>
      </c>
      <c r="D91" s="384"/>
      <c r="E91" s="384"/>
      <c r="F91" s="384"/>
      <c r="G91" s="384"/>
      <c r="H91" s="384"/>
      <c r="I91" s="384"/>
      <c r="J91" s="384"/>
      <c r="K91" s="83">
        <v>0.05</v>
      </c>
      <c r="L91" s="45" t="e">
        <f>K91*L110</f>
        <v>#REF!</v>
      </c>
      <c r="M91" s="68"/>
    </row>
    <row r="92" spans="2:13">
      <c r="B92" s="87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3">
        <v>6.8099999999999994E-2</v>
      </c>
      <c r="L92" s="45" t="e">
        <f>K92*L110</f>
        <v>#REF!</v>
      </c>
      <c r="M92" s="68"/>
    </row>
    <row r="93" spans="2:13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 t="e">
        <f>L110+L91+L92</f>
        <v>#REF!</v>
      </c>
      <c r="K93" s="366"/>
      <c r="L93" s="65"/>
    </row>
    <row r="94" spans="2:13">
      <c r="B94" s="361"/>
      <c r="C94" s="447" t="s">
        <v>43</v>
      </c>
      <c r="D94" s="410"/>
      <c r="E94" s="410"/>
      <c r="F94" s="448"/>
      <c r="G94" s="88"/>
      <c r="H94" s="88" t="s">
        <v>44</v>
      </c>
      <c r="I94" s="88"/>
      <c r="J94" s="370"/>
      <c r="K94" s="371"/>
      <c r="L94" s="65"/>
    </row>
    <row r="95" spans="2:13">
      <c r="B95" s="361"/>
      <c r="C95" s="446" t="s">
        <v>45</v>
      </c>
      <c r="D95" s="446"/>
      <c r="E95" s="446"/>
      <c r="F95" s="446"/>
      <c r="G95" s="86" t="s">
        <v>46</v>
      </c>
      <c r="H95" s="53">
        <v>1.6500000000000001E-2</v>
      </c>
      <c r="I95" s="372">
        <f>SUM(H95:H100)</f>
        <v>0.13250000000000001</v>
      </c>
      <c r="J95" s="359" t="e">
        <f>ROUND($L$112*H95,2)</f>
        <v>#REF!</v>
      </c>
      <c r="K95" s="360"/>
      <c r="L95" s="423" t="e">
        <f>SUM(J95:K100)</f>
        <v>#REF!</v>
      </c>
    </row>
    <row r="96" spans="2:13">
      <c r="B96" s="361"/>
      <c r="C96" s="446"/>
      <c r="D96" s="446"/>
      <c r="E96" s="446"/>
      <c r="F96" s="446"/>
      <c r="G96" s="86" t="s">
        <v>47</v>
      </c>
      <c r="H96" s="53">
        <v>7.5999999999999998E-2</v>
      </c>
      <c r="I96" s="372"/>
      <c r="J96" s="359" t="e">
        <f t="shared" ref="J96:J100" si="2">ROUND($L$112*H96,2)</f>
        <v>#REF!</v>
      </c>
      <c r="K96" s="360"/>
      <c r="L96" s="424"/>
    </row>
    <row r="97" spans="2:12">
      <c r="B97" s="361"/>
      <c r="C97" s="446"/>
      <c r="D97" s="446"/>
      <c r="E97" s="446"/>
      <c r="F97" s="446"/>
      <c r="G97" s="86" t="s">
        <v>48</v>
      </c>
      <c r="H97" s="53">
        <v>0</v>
      </c>
      <c r="I97" s="372"/>
      <c r="J97" s="359" t="e">
        <f t="shared" si="2"/>
        <v>#REF!</v>
      </c>
      <c r="K97" s="360"/>
      <c r="L97" s="424"/>
    </row>
    <row r="98" spans="2:12">
      <c r="B98" s="361"/>
      <c r="C98" s="446" t="s">
        <v>49</v>
      </c>
      <c r="D98" s="446"/>
      <c r="E98" s="446"/>
      <c r="F98" s="446"/>
      <c r="G98" s="85" t="s">
        <v>50</v>
      </c>
      <c r="H98" s="53">
        <v>0.04</v>
      </c>
      <c r="I98" s="372"/>
      <c r="J98" s="359" t="e">
        <f t="shared" si="2"/>
        <v>#REF!</v>
      </c>
      <c r="K98" s="360"/>
      <c r="L98" s="424"/>
    </row>
    <row r="99" spans="2:12">
      <c r="B99" s="361"/>
      <c r="C99" s="446"/>
      <c r="D99" s="446"/>
      <c r="E99" s="446"/>
      <c r="F99" s="446"/>
      <c r="G99" s="85" t="s">
        <v>48</v>
      </c>
      <c r="H99" s="53">
        <v>0</v>
      </c>
      <c r="I99" s="372"/>
      <c r="J99" s="359" t="e">
        <f t="shared" si="2"/>
        <v>#REF!</v>
      </c>
      <c r="K99" s="360"/>
      <c r="L99" s="424"/>
    </row>
    <row r="100" spans="2:12">
      <c r="B100" s="361"/>
      <c r="C100" s="446" t="s">
        <v>51</v>
      </c>
      <c r="D100" s="446"/>
      <c r="E100" s="446"/>
      <c r="F100" s="446"/>
      <c r="G100" s="85"/>
      <c r="H100" s="53">
        <v>0</v>
      </c>
      <c r="I100" s="372"/>
      <c r="J100" s="359" t="e">
        <f t="shared" si="2"/>
        <v>#REF!</v>
      </c>
      <c r="K100" s="360"/>
      <c r="L100" s="425"/>
    </row>
    <row r="101" spans="2:12">
      <c r="B101" s="361" t="s">
        <v>52</v>
      </c>
      <c r="C101" s="361"/>
      <c r="D101" s="361"/>
      <c r="E101" s="361"/>
      <c r="F101" s="361"/>
      <c r="G101" s="361"/>
      <c r="H101" s="361"/>
      <c r="I101" s="361"/>
      <c r="J101" s="361"/>
      <c r="K101" s="361"/>
      <c r="L101" s="78" t="e">
        <f>L95+L92+L91</f>
        <v>#REF!</v>
      </c>
    </row>
    <row r="102" spans="2:12">
      <c r="B102" s="69"/>
      <c r="C102" s="69"/>
      <c r="D102" s="69"/>
      <c r="E102" s="69"/>
      <c r="F102" s="69"/>
      <c r="G102" s="69"/>
      <c r="H102" s="69"/>
      <c r="I102" s="70"/>
      <c r="J102" s="71"/>
      <c r="K102" s="69"/>
    </row>
    <row r="103" spans="2:12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2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4" t="str">
        <f>L5</f>
        <v>SERVENTE</v>
      </c>
    </row>
    <row r="105" spans="2:12">
      <c r="B105" s="87" t="s">
        <v>13</v>
      </c>
      <c r="C105" s="384" t="str">
        <f>B6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2">
        <f>L17</f>
        <v>1547.12</v>
      </c>
    </row>
    <row r="106" spans="2:12">
      <c r="B106" s="87" t="s">
        <v>15</v>
      </c>
      <c r="C106" s="384" t="str">
        <f>B19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2" t="e">
        <f>L51</f>
        <v>#REF!</v>
      </c>
    </row>
    <row r="107" spans="2:12">
      <c r="B107" s="87" t="s">
        <v>19</v>
      </c>
      <c r="C107" s="384" t="str">
        <f>B53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2">
        <f>L60</f>
        <v>8.18</v>
      </c>
    </row>
    <row r="108" spans="2:12">
      <c r="B108" s="87" t="s">
        <v>21</v>
      </c>
      <c r="C108" s="384" t="str">
        <f>B62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2">
        <f>L79</f>
        <v>152.08189599999997</v>
      </c>
    </row>
    <row r="109" spans="2:12">
      <c r="B109" s="110" t="s">
        <v>23</v>
      </c>
      <c r="C109" s="384" t="str">
        <f>B81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2" t="e">
        <f>L87</f>
        <v>#REF!</v>
      </c>
    </row>
    <row r="110" spans="2:12">
      <c r="B110" s="395" t="s">
        <v>221</v>
      </c>
      <c r="C110" s="395"/>
      <c r="D110" s="395"/>
      <c r="E110" s="395"/>
      <c r="F110" s="395"/>
      <c r="G110" s="395"/>
      <c r="H110" s="395"/>
      <c r="I110" s="395"/>
      <c r="J110" s="395"/>
      <c r="K110" s="395"/>
      <c r="L110" s="79" t="e">
        <f>SUM(L105:L109)</f>
        <v>#REF!</v>
      </c>
    </row>
    <row r="111" spans="2:12">
      <c r="B111" s="87" t="s">
        <v>23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3" t="e">
        <f>L112-L110</f>
        <v>#REF!</v>
      </c>
    </row>
    <row r="112" spans="2:12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80" t="e">
        <f>ROUND(J93/(1-$I$95),2)</f>
        <v>#REF!</v>
      </c>
    </row>
    <row r="113" spans="6:12">
      <c r="K113" s="68"/>
    </row>
    <row r="115" spans="6:12">
      <c r="F115" s="390" t="s">
        <v>57</v>
      </c>
      <c r="G115" s="391"/>
      <c r="H115" s="391"/>
      <c r="I115" s="392"/>
      <c r="J115" s="18"/>
      <c r="L115" s="18"/>
    </row>
    <row r="116" spans="6:12">
      <c r="F116" s="390" t="s">
        <v>58</v>
      </c>
      <c r="G116" s="391"/>
      <c r="H116" s="392"/>
      <c r="I116" s="74" t="s">
        <v>18</v>
      </c>
      <c r="J116" s="18"/>
      <c r="L116" s="18"/>
    </row>
    <row r="117" spans="6:12">
      <c r="F117" s="75" t="s">
        <v>59</v>
      </c>
      <c r="G117" s="75"/>
      <c r="H117" s="76"/>
      <c r="I117" s="76">
        <f>K91</f>
        <v>0.05</v>
      </c>
      <c r="J117" s="18"/>
      <c r="L117" s="18"/>
    </row>
    <row r="118" spans="6:12">
      <c r="F118" s="378" t="s">
        <v>41</v>
      </c>
      <c r="G118" s="379"/>
      <c r="H118" s="380"/>
      <c r="I118" s="76">
        <f>K92</f>
        <v>6.8099999999999994E-2</v>
      </c>
      <c r="J118" s="18"/>
      <c r="L118" s="18"/>
    </row>
    <row r="119" spans="6:12">
      <c r="F119" s="75" t="s">
        <v>60</v>
      </c>
      <c r="G119" s="75"/>
      <c r="H119" s="76"/>
      <c r="I119" s="76">
        <f>I95</f>
        <v>0.13250000000000001</v>
      </c>
      <c r="J119" s="18"/>
      <c r="L119" s="18"/>
    </row>
    <row r="120" spans="6:12">
      <c r="F120" s="381" t="s">
        <v>61</v>
      </c>
      <c r="G120" s="382"/>
      <c r="H120" s="383"/>
      <c r="I120" s="76">
        <f>(1+I117)*(1+I118)/(1-I119)-1</f>
        <v>0.29280115273775253</v>
      </c>
      <c r="J120" s="18"/>
      <c r="L120" s="18"/>
    </row>
  </sheetData>
  <mergeCells count="126"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</mergeCells>
  <pageMargins left="0.511811024" right="0.511811024" top="0.78740157499999996" bottom="0.78740157499999996" header="0.31496062000000002" footer="0.31496062000000002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8" customWidth="1"/>
    <col min="2" max="2" width="4.5703125" style="18" customWidth="1"/>
    <col min="3" max="3" width="9" style="18" customWidth="1"/>
    <col min="4" max="4" width="25" style="18" customWidth="1"/>
    <col min="5" max="5" width="4.7109375" style="18" bestFit="1" customWidth="1"/>
    <col min="6" max="6" width="9" style="18" bestFit="1" customWidth="1"/>
    <col min="7" max="7" width="10.42578125" style="18" customWidth="1"/>
    <col min="8" max="8" width="10.7109375" style="18" customWidth="1"/>
    <col min="9" max="9" width="16.7109375" style="50" customWidth="1"/>
    <col min="10" max="10" width="9" style="51" bestFit="1" customWidth="1"/>
    <col min="11" max="11" width="9.140625" style="18" bestFit="1" customWidth="1"/>
    <col min="12" max="12" width="12.7109375" style="35" bestFit="1" customWidth="1"/>
    <col min="13" max="13" width="13.28515625" style="18" bestFit="1" customWidth="1"/>
    <col min="14" max="16384" width="11.85546875" style="18"/>
  </cols>
  <sheetData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9" customFormat="1">
      <c r="B3" s="456" t="e">
        <f>#REF!</f>
        <v>#REF!</v>
      </c>
      <c r="C3" s="457"/>
      <c r="D3" s="457"/>
      <c r="E3" s="457"/>
      <c r="F3" s="457"/>
      <c r="G3" s="457"/>
      <c r="H3" s="457"/>
      <c r="I3" s="457"/>
      <c r="J3" s="457"/>
      <c r="K3" s="457"/>
      <c r="L3" s="458"/>
    </row>
    <row r="4" spans="2:13" s="19" customFormat="1">
      <c r="B4" s="459"/>
      <c r="C4" s="460"/>
      <c r="D4" s="460"/>
      <c r="E4" s="460"/>
      <c r="F4" s="460"/>
      <c r="G4" s="460"/>
      <c r="H4" s="460"/>
      <c r="I4" s="460"/>
      <c r="J4" s="460"/>
      <c r="K4" s="460"/>
      <c r="L4" s="461"/>
    </row>
    <row r="5" spans="2:13">
      <c r="B5" s="20"/>
      <c r="C5" s="21"/>
      <c r="D5" s="21"/>
      <c r="E5" s="21"/>
      <c r="F5" s="21"/>
      <c r="G5" s="21"/>
      <c r="H5" s="21"/>
      <c r="I5" s="22"/>
      <c r="J5" s="21"/>
      <c r="K5" s="23"/>
      <c r="L5" s="24" t="s">
        <v>62</v>
      </c>
    </row>
    <row r="6" spans="2:13">
      <c r="B6" s="409" t="s">
        <v>12</v>
      </c>
      <c r="C6" s="409"/>
      <c r="D6" s="409"/>
      <c r="E6" s="409"/>
      <c r="F6" s="409"/>
      <c r="G6" s="409"/>
      <c r="H6" s="409"/>
      <c r="I6" s="409"/>
      <c r="J6" s="409"/>
      <c r="K6" s="409"/>
      <c r="L6" s="409"/>
    </row>
    <row r="7" spans="2:13">
      <c r="B7" s="87" t="s">
        <v>13</v>
      </c>
      <c r="C7" s="384" t="s">
        <v>14</v>
      </c>
      <c r="D7" s="384"/>
      <c r="E7" s="384"/>
      <c r="F7" s="384"/>
      <c r="G7" s="384"/>
      <c r="H7" s="384"/>
      <c r="I7" s="384"/>
      <c r="J7" s="384"/>
      <c r="K7" s="384"/>
      <c r="L7" s="26">
        <f>'Benef. e Insumos'!E10</f>
        <v>1547.12</v>
      </c>
    </row>
    <row r="8" spans="2:13">
      <c r="B8" s="99" t="s">
        <v>166</v>
      </c>
      <c r="C8" s="384" t="s">
        <v>167</v>
      </c>
      <c r="D8" s="384"/>
      <c r="E8" s="384"/>
      <c r="F8" s="384"/>
      <c r="G8" s="384"/>
      <c r="H8" s="384"/>
      <c r="I8" s="384"/>
      <c r="J8" s="384"/>
      <c r="K8" s="384"/>
      <c r="L8" s="26"/>
    </row>
    <row r="9" spans="2:13">
      <c r="B9" s="87" t="s">
        <v>15</v>
      </c>
      <c r="C9" s="384" t="s">
        <v>16</v>
      </c>
      <c r="D9" s="384"/>
      <c r="E9" s="384"/>
      <c r="F9" s="349" t="s">
        <v>17</v>
      </c>
      <c r="G9" s="349"/>
      <c r="H9" s="349"/>
      <c r="I9" s="349"/>
      <c r="J9" s="27" t="s">
        <v>18</v>
      </c>
      <c r="K9" s="28">
        <v>0</v>
      </c>
      <c r="L9" s="29">
        <v>0</v>
      </c>
      <c r="M9" s="30"/>
    </row>
    <row r="10" spans="2:13">
      <c r="B10" s="110" t="s">
        <v>19</v>
      </c>
      <c r="C10" s="367" t="s">
        <v>172</v>
      </c>
      <c r="D10" s="368"/>
      <c r="E10" s="368"/>
      <c r="F10" s="368"/>
      <c r="G10" s="368"/>
      <c r="H10" s="368"/>
      <c r="I10" s="369"/>
      <c r="J10" s="27" t="s">
        <v>18</v>
      </c>
      <c r="K10" s="28">
        <v>0</v>
      </c>
      <c r="L10" s="29">
        <v>0</v>
      </c>
      <c r="M10" s="30"/>
    </row>
    <row r="11" spans="2:13">
      <c r="B11" s="110" t="s">
        <v>21</v>
      </c>
      <c r="C11" s="367" t="s">
        <v>169</v>
      </c>
      <c r="D11" s="368"/>
      <c r="E11" s="368"/>
      <c r="F11" s="368"/>
      <c r="G11" s="368"/>
      <c r="H11" s="368"/>
      <c r="I11" s="369"/>
      <c r="J11" s="27" t="s">
        <v>18</v>
      </c>
      <c r="K11" s="28">
        <v>0</v>
      </c>
      <c r="L11" s="29">
        <v>0</v>
      </c>
      <c r="M11" s="30"/>
    </row>
    <row r="12" spans="2:13">
      <c r="B12" s="110" t="s">
        <v>23</v>
      </c>
      <c r="C12" s="367" t="s">
        <v>170</v>
      </c>
      <c r="D12" s="368"/>
      <c r="E12" s="368"/>
      <c r="F12" s="368"/>
      <c r="G12" s="368"/>
      <c r="H12" s="368"/>
      <c r="I12" s="369"/>
      <c r="J12" s="27" t="s">
        <v>18</v>
      </c>
      <c r="K12" s="28">
        <v>0</v>
      </c>
      <c r="L12" s="29">
        <v>0</v>
      </c>
      <c r="M12" s="30"/>
    </row>
    <row r="13" spans="2:13">
      <c r="B13" s="110" t="s">
        <v>6</v>
      </c>
      <c r="C13" s="367" t="s">
        <v>171</v>
      </c>
      <c r="D13" s="368"/>
      <c r="E13" s="368"/>
      <c r="F13" s="368"/>
      <c r="G13" s="368"/>
      <c r="H13" s="368"/>
      <c r="I13" s="369"/>
      <c r="J13" s="27" t="s">
        <v>18</v>
      </c>
      <c r="K13" s="28">
        <v>0</v>
      </c>
      <c r="L13" s="29">
        <v>0</v>
      </c>
      <c r="M13" s="30"/>
    </row>
    <row r="14" spans="2:13">
      <c r="B14" s="110" t="s">
        <v>24</v>
      </c>
      <c r="C14" s="399" t="s">
        <v>20</v>
      </c>
      <c r="D14" s="399"/>
      <c r="E14" s="399"/>
      <c r="F14" s="399"/>
      <c r="G14" s="399"/>
      <c r="H14" s="399"/>
      <c r="I14" s="399"/>
      <c r="J14" s="27" t="s">
        <v>18</v>
      </c>
      <c r="K14" s="31">
        <v>0</v>
      </c>
      <c r="L14" s="29">
        <v>0</v>
      </c>
      <c r="M14" s="30"/>
    </row>
    <row r="15" spans="2:13">
      <c r="B15" s="110" t="s">
        <v>25</v>
      </c>
      <c r="C15" s="416" t="s">
        <v>22</v>
      </c>
      <c r="D15" s="416"/>
      <c r="E15" s="416"/>
      <c r="F15" s="416"/>
      <c r="G15" s="416"/>
      <c r="H15" s="416"/>
      <c r="I15" s="416"/>
      <c r="J15" s="416"/>
      <c r="K15" s="416"/>
      <c r="L15" s="29">
        <v>0</v>
      </c>
      <c r="M15" s="30"/>
    </row>
    <row r="16" spans="2:13">
      <c r="B16" s="110" t="s">
        <v>168</v>
      </c>
      <c r="C16" s="453" t="s">
        <v>3</v>
      </c>
      <c r="D16" s="453"/>
      <c r="E16" s="453"/>
      <c r="F16" s="453"/>
      <c r="G16" s="453"/>
      <c r="H16" s="453"/>
      <c r="I16" s="453"/>
      <c r="J16" s="453"/>
      <c r="K16" s="453"/>
      <c r="L16" s="29"/>
      <c r="M16" s="30"/>
    </row>
    <row r="17" spans="2:13">
      <c r="B17" s="417" t="s">
        <v>220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120">
        <f>SUM(L7:L16)</f>
        <v>1547.12</v>
      </c>
      <c r="M17" s="32"/>
    </row>
    <row r="18" spans="2:13">
      <c r="B18" s="33"/>
      <c r="C18" s="33"/>
      <c r="D18" s="33"/>
      <c r="E18" s="33"/>
      <c r="F18" s="33"/>
      <c r="G18" s="33"/>
      <c r="H18" s="33"/>
      <c r="I18" s="34"/>
      <c r="J18" s="33"/>
      <c r="K18" s="33"/>
    </row>
    <row r="19" spans="2:13">
      <c r="B19" s="409" t="s">
        <v>173</v>
      </c>
      <c r="C19" s="409"/>
      <c r="D19" s="409"/>
      <c r="E19" s="409"/>
      <c r="F19" s="409"/>
      <c r="G19" s="409"/>
      <c r="H19" s="409"/>
      <c r="I19" s="409"/>
      <c r="J19" s="409"/>
      <c r="K19" s="409"/>
      <c r="L19" s="24" t="str">
        <f>L5</f>
        <v>SERVENTE</v>
      </c>
    </row>
    <row r="20" spans="2:13">
      <c r="B20" s="407" t="s">
        <v>174</v>
      </c>
      <c r="C20" s="408"/>
      <c r="D20" s="408"/>
      <c r="E20" s="408"/>
      <c r="F20" s="408"/>
      <c r="G20" s="408"/>
      <c r="H20" s="408"/>
      <c r="I20" s="408"/>
      <c r="J20" s="408"/>
      <c r="K20" s="112" t="s">
        <v>18</v>
      </c>
      <c r="L20" s="29" t="s">
        <v>178</v>
      </c>
    </row>
    <row r="21" spans="2:13">
      <c r="B21" s="110" t="s">
        <v>13</v>
      </c>
      <c r="C21" s="367" t="s">
        <v>175</v>
      </c>
      <c r="D21" s="368"/>
      <c r="E21" s="368"/>
      <c r="F21" s="368"/>
      <c r="G21" s="368"/>
      <c r="H21" s="368"/>
      <c r="I21" s="368"/>
      <c r="J21" s="369"/>
      <c r="K21" s="52">
        <v>8.3299999999999999E-2</v>
      </c>
      <c r="L21" s="29">
        <f>K21*L17</f>
        <v>128.87509599999998</v>
      </c>
    </row>
    <row r="22" spans="2:13">
      <c r="B22" s="110" t="s">
        <v>15</v>
      </c>
      <c r="C22" s="367" t="s">
        <v>176</v>
      </c>
      <c r="D22" s="368"/>
      <c r="E22" s="368"/>
      <c r="F22" s="368"/>
      <c r="G22" s="368"/>
      <c r="H22" s="368"/>
      <c r="I22" s="368"/>
      <c r="J22" s="369"/>
      <c r="K22" s="52">
        <v>2.7799999999999998E-2</v>
      </c>
      <c r="L22" s="29">
        <f>K22*L17</f>
        <v>43.009935999999996</v>
      </c>
    </row>
    <row r="23" spans="2:13">
      <c r="B23" s="449" t="s">
        <v>177</v>
      </c>
      <c r="C23" s="348"/>
      <c r="D23" s="348"/>
      <c r="E23" s="348"/>
      <c r="F23" s="348"/>
      <c r="G23" s="348"/>
      <c r="H23" s="348"/>
      <c r="I23" s="348"/>
      <c r="J23" s="450"/>
      <c r="K23" s="52">
        <f>SUM(K21:K22)</f>
        <v>0.1111</v>
      </c>
      <c r="L23" s="29">
        <f>SUM(L21:L22)</f>
        <v>171.88503199999997</v>
      </c>
    </row>
    <row r="24" spans="2:13">
      <c r="B24" s="113"/>
      <c r="C24" s="114"/>
      <c r="D24" s="114"/>
      <c r="E24" s="114"/>
      <c r="F24" s="114"/>
      <c r="G24" s="114"/>
      <c r="H24" s="114"/>
      <c r="I24" s="114"/>
      <c r="J24" s="115"/>
      <c r="K24" s="52"/>
      <c r="L24" s="29"/>
    </row>
    <row r="25" spans="2:13">
      <c r="B25" s="407" t="s">
        <v>179</v>
      </c>
      <c r="C25" s="408"/>
      <c r="D25" s="408"/>
      <c r="E25" s="408"/>
      <c r="F25" s="408"/>
      <c r="G25" s="408"/>
      <c r="H25" s="408"/>
      <c r="I25" s="408"/>
      <c r="J25" s="408"/>
      <c r="K25" s="112" t="s">
        <v>18</v>
      </c>
      <c r="L25" s="29" t="s">
        <v>178</v>
      </c>
    </row>
    <row r="26" spans="2:13">
      <c r="B26" s="92" t="s">
        <v>13</v>
      </c>
      <c r="C26" s="349" t="s">
        <v>26</v>
      </c>
      <c r="D26" s="349"/>
      <c r="E26" s="349"/>
      <c r="F26" s="349"/>
      <c r="G26" s="349"/>
      <c r="H26" s="349"/>
      <c r="I26" s="349"/>
      <c r="J26" s="349"/>
      <c r="K26" s="44">
        <v>0.2</v>
      </c>
      <c r="L26" s="45">
        <f>ROUND($K$26*L17,2)</f>
        <v>309.42</v>
      </c>
    </row>
    <row r="27" spans="2:13">
      <c r="B27" s="92" t="s">
        <v>15</v>
      </c>
      <c r="C27" s="349" t="s">
        <v>27</v>
      </c>
      <c r="D27" s="349"/>
      <c r="E27" s="349"/>
      <c r="F27" s="349"/>
      <c r="G27" s="349"/>
      <c r="H27" s="349"/>
      <c r="I27" s="349"/>
      <c r="J27" s="349"/>
      <c r="K27" s="44">
        <v>1.4999999999999999E-2</v>
      </c>
      <c r="L27" s="45">
        <f>ROUND($K$27*L17,2)</f>
        <v>23.21</v>
      </c>
    </row>
    <row r="28" spans="2:13">
      <c r="B28" s="92" t="s">
        <v>19</v>
      </c>
      <c r="C28" s="349" t="s">
        <v>28</v>
      </c>
      <c r="D28" s="349"/>
      <c r="E28" s="349"/>
      <c r="F28" s="349"/>
      <c r="G28" s="349"/>
      <c r="H28" s="349"/>
      <c r="I28" s="349"/>
      <c r="J28" s="349"/>
      <c r="K28" s="44">
        <v>0.01</v>
      </c>
      <c r="L28" s="45">
        <f>ROUND(K28*$L$17,2)</f>
        <v>15.47</v>
      </c>
    </row>
    <row r="29" spans="2:13">
      <c r="B29" s="92" t="s">
        <v>21</v>
      </c>
      <c r="C29" s="349" t="s">
        <v>29</v>
      </c>
      <c r="D29" s="349"/>
      <c r="E29" s="349"/>
      <c r="F29" s="349"/>
      <c r="G29" s="349"/>
      <c r="H29" s="349"/>
      <c r="I29" s="349"/>
      <c r="J29" s="349"/>
      <c r="K29" s="44">
        <v>2E-3</v>
      </c>
      <c r="L29" s="45">
        <f>ROUND(K29*$L$17,2)</f>
        <v>3.09</v>
      </c>
    </row>
    <row r="30" spans="2:13">
      <c r="B30" s="92" t="s">
        <v>23</v>
      </c>
      <c r="C30" s="349" t="s">
        <v>30</v>
      </c>
      <c r="D30" s="349"/>
      <c r="E30" s="349"/>
      <c r="F30" s="349"/>
      <c r="G30" s="349"/>
      <c r="H30" s="349"/>
      <c r="I30" s="349"/>
      <c r="J30" s="349"/>
      <c r="K30" s="44">
        <v>2.5000000000000001E-2</v>
      </c>
      <c r="L30" s="45">
        <f>ROUND(K30*$L$17,2)</f>
        <v>38.68</v>
      </c>
      <c r="M30" s="46"/>
    </row>
    <row r="31" spans="2:13">
      <c r="B31" s="92" t="s">
        <v>6</v>
      </c>
      <c r="C31" s="367" t="s">
        <v>165</v>
      </c>
      <c r="D31" s="369"/>
      <c r="E31" s="454">
        <v>0.08</v>
      </c>
      <c r="F31" s="455"/>
      <c r="G31" s="367" t="s">
        <v>164</v>
      </c>
      <c r="H31" s="368"/>
      <c r="I31" s="368"/>
      <c r="J31" s="369"/>
      <c r="K31" s="44">
        <f>E31*(1+(1/12)+(1/12/3))</f>
        <v>8.8888888888888878E-2</v>
      </c>
      <c r="L31" s="45">
        <f>ROUND(K31*($L$17+(1/3/12*L17)+(1/12*L17)),2)</f>
        <v>152.80000000000001</v>
      </c>
      <c r="M31" s="18" t="s">
        <v>180</v>
      </c>
    </row>
    <row r="32" spans="2:13">
      <c r="B32" s="92" t="s">
        <v>24</v>
      </c>
      <c r="C32" s="349" t="s">
        <v>31</v>
      </c>
      <c r="D32" s="349"/>
      <c r="E32" s="349"/>
      <c r="F32" s="349"/>
      <c r="G32" s="91" t="s">
        <v>32</v>
      </c>
      <c r="H32" s="48">
        <v>0.03</v>
      </c>
      <c r="I32" s="91" t="s">
        <v>33</v>
      </c>
      <c r="J32" s="81">
        <v>1</v>
      </c>
      <c r="K32" s="49">
        <f>H32*J32</f>
        <v>0.03</v>
      </c>
      <c r="L32" s="45">
        <f>ROUND(K32*$L$17,2)</f>
        <v>46.41</v>
      </c>
    </row>
    <row r="33" spans="2:20">
      <c r="B33" s="92" t="s">
        <v>25</v>
      </c>
      <c r="C33" s="349" t="s">
        <v>34</v>
      </c>
      <c r="D33" s="349"/>
      <c r="E33" s="349"/>
      <c r="F33" s="349"/>
      <c r="G33" s="349"/>
      <c r="H33" s="349"/>
      <c r="I33" s="349"/>
      <c r="J33" s="349"/>
      <c r="K33" s="44">
        <v>6.0000000000000001E-3</v>
      </c>
      <c r="L33" s="45">
        <f>ROUND(K33*$L$17,2)</f>
        <v>9.2799999999999994</v>
      </c>
      <c r="M33" s="19"/>
      <c r="N33" s="19"/>
      <c r="O33" s="19"/>
      <c r="P33" s="19"/>
      <c r="Q33" s="19"/>
      <c r="R33" s="19"/>
      <c r="S33" s="19"/>
      <c r="T33" s="19"/>
    </row>
    <row r="34" spans="2:20">
      <c r="B34" s="449" t="s">
        <v>181</v>
      </c>
      <c r="C34" s="348"/>
      <c r="D34" s="348"/>
      <c r="E34" s="348"/>
      <c r="F34" s="348"/>
      <c r="G34" s="348"/>
      <c r="H34" s="348"/>
      <c r="I34" s="348"/>
      <c r="J34" s="450"/>
      <c r="K34" s="52">
        <f>SUM(K26:K33)</f>
        <v>0.37688888888888894</v>
      </c>
      <c r="L34" s="29">
        <f>SUM(L26:L33)</f>
        <v>598.36</v>
      </c>
      <c r="M34" s="19"/>
      <c r="N34" s="19"/>
      <c r="O34" s="19"/>
      <c r="P34" s="19"/>
      <c r="Q34" s="19"/>
      <c r="R34" s="19"/>
      <c r="S34" s="19"/>
      <c r="T34" s="19"/>
    </row>
    <row r="35" spans="2:20">
      <c r="B35" s="113"/>
      <c r="C35" s="114"/>
      <c r="D35" s="114"/>
      <c r="E35" s="114"/>
      <c r="F35" s="114"/>
      <c r="G35" s="114"/>
      <c r="H35" s="114"/>
      <c r="I35" s="114"/>
      <c r="J35" s="115"/>
      <c r="K35" s="52"/>
      <c r="L35" s="29"/>
      <c r="M35" s="19"/>
      <c r="N35" s="19"/>
      <c r="O35" s="19"/>
      <c r="P35" s="19"/>
      <c r="Q35" s="19"/>
      <c r="R35" s="19"/>
      <c r="S35" s="19"/>
      <c r="T35" s="19"/>
    </row>
    <row r="36" spans="2:20">
      <c r="B36" s="407" t="s">
        <v>182</v>
      </c>
      <c r="C36" s="408"/>
      <c r="D36" s="408"/>
      <c r="E36" s="408"/>
      <c r="F36" s="408"/>
      <c r="G36" s="408"/>
      <c r="H36" s="408"/>
      <c r="I36" s="408"/>
      <c r="J36" s="408"/>
      <c r="K36" s="112"/>
      <c r="L36" s="29" t="s">
        <v>178</v>
      </c>
    </row>
    <row r="37" spans="2:20">
      <c r="B37" s="87" t="s">
        <v>13</v>
      </c>
      <c r="C37" s="367" t="str">
        <f>'Benef. e Insumos'!B19</f>
        <v xml:space="preserve">CLÁUSULA SÉTIMA - CESTA BÁSICA </v>
      </c>
      <c r="D37" s="368"/>
      <c r="E37" s="368"/>
      <c r="F37" s="368"/>
      <c r="G37" s="368"/>
      <c r="H37" s="368"/>
      <c r="I37" s="368"/>
      <c r="J37" s="369"/>
      <c r="K37" s="100"/>
      <c r="L37" s="29">
        <f>'Benef. e Insumos'!D21</f>
        <v>0</v>
      </c>
    </row>
    <row r="38" spans="2:20">
      <c r="B38" s="87" t="s">
        <v>15</v>
      </c>
      <c r="C38" s="367" t="str">
        <f>'Benef. e Insumos'!B13</f>
        <v>CLÁUSULA SÉTIMA - TÍQUETE REFEIÇÃO</v>
      </c>
      <c r="D38" s="368"/>
      <c r="E38" s="368"/>
      <c r="F38" s="368"/>
      <c r="G38" s="368"/>
      <c r="H38" s="368"/>
      <c r="I38" s="368"/>
      <c r="J38" s="369"/>
      <c r="K38" s="100"/>
      <c r="L38" s="29">
        <f>'Benef. e Insumos'!H17</f>
        <v>300.12</v>
      </c>
    </row>
    <row r="39" spans="2:20">
      <c r="B39" s="87" t="s">
        <v>19</v>
      </c>
      <c r="C39" s="367" t="e">
        <f>'Benef. e Insumos'!#REF!</f>
        <v>#REF!</v>
      </c>
      <c r="D39" s="368"/>
      <c r="E39" s="368"/>
      <c r="F39" s="368"/>
      <c r="G39" s="368"/>
      <c r="H39" s="368"/>
      <c r="I39" s="368"/>
      <c r="J39" s="369"/>
      <c r="K39" s="100"/>
      <c r="L39" s="29" t="e">
        <f>'Benef. e Insumos'!#REF!</f>
        <v>#REF!</v>
      </c>
    </row>
    <row r="40" spans="2:20">
      <c r="B40" s="99" t="s">
        <v>21</v>
      </c>
      <c r="C40" s="367" t="e">
        <f>'Benef. e Insumos'!#REF!</f>
        <v>#REF!</v>
      </c>
      <c r="D40" s="368"/>
      <c r="E40" s="368"/>
      <c r="F40" s="368"/>
      <c r="G40" s="368"/>
      <c r="H40" s="368"/>
      <c r="I40" s="368"/>
      <c r="J40" s="369"/>
      <c r="K40" s="100"/>
      <c r="L40" s="29" t="e">
        <f>'Benef. e Insumos'!#REF!</f>
        <v>#REF!</v>
      </c>
    </row>
    <row r="41" spans="2:20">
      <c r="B41" s="99" t="s">
        <v>23</v>
      </c>
      <c r="C41" s="367" t="e">
        <f>'Benef. e Insumos'!#REF!</f>
        <v>#REF!</v>
      </c>
      <c r="D41" s="368"/>
      <c r="E41" s="368"/>
      <c r="F41" s="368"/>
      <c r="G41" s="368"/>
      <c r="H41" s="368"/>
      <c r="I41" s="368"/>
      <c r="J41" s="369"/>
      <c r="K41" s="101"/>
      <c r="L41" s="29" t="e">
        <f>'Benef. e Insumos'!#REF!</f>
        <v>#REF!</v>
      </c>
    </row>
    <row r="42" spans="2:20">
      <c r="B42" s="99" t="s">
        <v>6</v>
      </c>
      <c r="C42" s="367" t="e">
        <f>'Benef. e Insumos'!#REF!</f>
        <v>#REF!</v>
      </c>
      <c r="D42" s="368"/>
      <c r="E42" s="368"/>
      <c r="F42" s="368"/>
      <c r="G42" s="368"/>
      <c r="H42" s="368"/>
      <c r="I42" s="368"/>
      <c r="J42" s="369"/>
      <c r="K42" s="102"/>
      <c r="L42" s="29" t="e">
        <f>'Benef. e Insumos'!#REF!</f>
        <v>#REF!</v>
      </c>
    </row>
    <row r="43" spans="2:20">
      <c r="B43" s="99" t="s">
        <v>24</v>
      </c>
      <c r="C43" s="367" t="str">
        <f>'Benef. e Insumos'!B27</f>
        <v xml:space="preserve"> AUXÍLIO TRANSPORTE</v>
      </c>
      <c r="D43" s="368"/>
      <c r="E43" s="368"/>
      <c r="F43" s="368"/>
      <c r="G43" s="368"/>
      <c r="H43" s="368"/>
      <c r="I43" s="368"/>
      <c r="J43" s="369"/>
      <c r="K43" s="102"/>
      <c r="L43" s="29">
        <f>'Benef. e Insumos'!G29</f>
        <v>21.172800000000009</v>
      </c>
    </row>
    <row r="44" spans="2:20">
      <c r="B44" s="99" t="s">
        <v>25</v>
      </c>
      <c r="C44" s="453" t="s">
        <v>3</v>
      </c>
      <c r="D44" s="453"/>
      <c r="E44" s="453"/>
      <c r="F44" s="453"/>
      <c r="G44" s="453"/>
      <c r="H44" s="453"/>
      <c r="I44" s="453"/>
      <c r="J44" s="453"/>
      <c r="K44" s="453"/>
      <c r="L44" s="36">
        <v>0</v>
      </c>
    </row>
    <row r="45" spans="2:20">
      <c r="B45" s="449" t="s">
        <v>184</v>
      </c>
      <c r="C45" s="348"/>
      <c r="D45" s="348"/>
      <c r="E45" s="348"/>
      <c r="F45" s="348"/>
      <c r="G45" s="348"/>
      <c r="H45" s="348"/>
      <c r="I45" s="348"/>
      <c r="J45" s="450"/>
      <c r="K45" s="52"/>
      <c r="L45" s="29" t="e">
        <f>SUM(L37:L44)</f>
        <v>#REF!</v>
      </c>
    </row>
    <row r="46" spans="2:20">
      <c r="B46" s="113"/>
      <c r="C46" s="114"/>
      <c r="D46" s="114"/>
      <c r="E46" s="114"/>
      <c r="F46" s="114"/>
      <c r="G46" s="114"/>
      <c r="H46" s="114"/>
      <c r="I46" s="114"/>
      <c r="J46" s="115"/>
      <c r="K46" s="52"/>
      <c r="L46" s="29"/>
    </row>
    <row r="47" spans="2:20">
      <c r="B47" s="393" t="s">
        <v>185</v>
      </c>
      <c r="C47" s="393"/>
      <c r="D47" s="393"/>
      <c r="E47" s="393"/>
      <c r="F47" s="393"/>
      <c r="G47" s="393"/>
      <c r="H47" s="393"/>
      <c r="I47" s="393"/>
      <c r="J47" s="393"/>
      <c r="K47" s="393"/>
      <c r="L47" s="24" t="str">
        <f>L5</f>
        <v>SERVENTE</v>
      </c>
    </row>
    <row r="48" spans="2:20">
      <c r="B48" s="110" t="s">
        <v>186</v>
      </c>
      <c r="C48" s="367" t="s">
        <v>189</v>
      </c>
      <c r="D48" s="368"/>
      <c r="E48" s="368"/>
      <c r="F48" s="368"/>
      <c r="G48" s="368"/>
      <c r="H48" s="368"/>
      <c r="I48" s="368"/>
      <c r="J48" s="369"/>
      <c r="K48" s="100"/>
      <c r="L48" s="29">
        <f>L23</f>
        <v>171.88503199999997</v>
      </c>
    </row>
    <row r="49" spans="2:12">
      <c r="B49" s="110" t="s">
        <v>187</v>
      </c>
      <c r="C49" s="367" t="s">
        <v>190</v>
      </c>
      <c r="D49" s="368"/>
      <c r="E49" s="368"/>
      <c r="F49" s="368"/>
      <c r="G49" s="368"/>
      <c r="H49" s="368"/>
      <c r="I49" s="368"/>
      <c r="J49" s="369"/>
      <c r="K49" s="100"/>
      <c r="L49" s="29">
        <f>L34</f>
        <v>598.36</v>
      </c>
    </row>
    <row r="50" spans="2:12">
      <c r="B50" s="110" t="s">
        <v>188</v>
      </c>
      <c r="C50" s="367" t="s">
        <v>192</v>
      </c>
      <c r="D50" s="368"/>
      <c r="E50" s="368"/>
      <c r="F50" s="368"/>
      <c r="G50" s="368"/>
      <c r="H50" s="368"/>
      <c r="I50" s="368"/>
      <c r="J50" s="369"/>
      <c r="K50" s="100"/>
      <c r="L50" s="29" t="e">
        <f>L45</f>
        <v>#REF!</v>
      </c>
    </row>
    <row r="51" spans="2:12">
      <c r="B51" s="355" t="s">
        <v>191</v>
      </c>
      <c r="C51" s="356"/>
      <c r="D51" s="356"/>
      <c r="E51" s="356"/>
      <c r="F51" s="356"/>
      <c r="G51" s="356"/>
      <c r="H51" s="356"/>
      <c r="I51" s="356"/>
      <c r="J51" s="357"/>
      <c r="K51" s="121"/>
      <c r="L51" s="122" t="e">
        <f>SUM(L48:L50)</f>
        <v>#REF!</v>
      </c>
    </row>
    <row r="52" spans="2:12">
      <c r="B52" s="350"/>
      <c r="C52" s="351"/>
      <c r="D52" s="351"/>
      <c r="E52" s="351"/>
      <c r="F52" s="351"/>
      <c r="G52" s="351"/>
      <c r="H52" s="351"/>
      <c r="I52" s="351"/>
      <c r="J52" s="351"/>
      <c r="K52" s="351"/>
      <c r="L52" s="351"/>
    </row>
    <row r="53" spans="2:12">
      <c r="B53" s="409" t="s">
        <v>183</v>
      </c>
      <c r="C53" s="409"/>
      <c r="D53" s="409"/>
      <c r="E53" s="409"/>
      <c r="F53" s="409"/>
      <c r="G53" s="409"/>
      <c r="H53" s="409"/>
      <c r="I53" s="409"/>
      <c r="J53" s="409"/>
      <c r="K53" s="117" t="s">
        <v>18</v>
      </c>
      <c r="L53" s="118" t="s">
        <v>178</v>
      </c>
    </row>
    <row r="54" spans="2:12">
      <c r="B54" s="87" t="s">
        <v>13</v>
      </c>
      <c r="C54" s="349" t="s">
        <v>35</v>
      </c>
      <c r="D54" s="349"/>
      <c r="E54" s="349"/>
      <c r="F54" s="349"/>
      <c r="G54" s="349"/>
      <c r="H54" s="349"/>
      <c r="I54" s="56">
        <v>30</v>
      </c>
      <c r="J54" s="57">
        <v>0.05</v>
      </c>
      <c r="K54" s="52">
        <f>I54/30/12*J54</f>
        <v>4.1666666666666666E-3</v>
      </c>
      <c r="L54" s="29">
        <f t="shared" ref="L54:L59" si="0">ROUND(K54*$L$17,2)</f>
        <v>6.45</v>
      </c>
    </row>
    <row r="55" spans="2:12">
      <c r="B55" s="87" t="s">
        <v>15</v>
      </c>
      <c r="C55" s="349" t="s">
        <v>36</v>
      </c>
      <c r="D55" s="349"/>
      <c r="E55" s="349"/>
      <c r="F55" s="349"/>
      <c r="G55" s="349"/>
      <c r="H55" s="349"/>
      <c r="I55" s="349"/>
      <c r="J55" s="349"/>
      <c r="K55" s="52">
        <f>K31*K54</f>
        <v>3.703703703703703E-4</v>
      </c>
      <c r="L55" s="29">
        <f t="shared" si="0"/>
        <v>0.56999999999999995</v>
      </c>
    </row>
    <row r="56" spans="2:12">
      <c r="B56" s="110" t="s">
        <v>19</v>
      </c>
      <c r="C56" s="349" t="s">
        <v>194</v>
      </c>
      <c r="D56" s="349"/>
      <c r="E56" s="349"/>
      <c r="F56" s="349"/>
      <c r="G56" s="349"/>
      <c r="H56" s="349"/>
      <c r="I56" s="349"/>
      <c r="J56" s="349"/>
      <c r="K56" s="52">
        <f>0.5*K55</f>
        <v>1.8518518518518515E-4</v>
      </c>
      <c r="L56" s="29">
        <f t="shared" si="0"/>
        <v>0.28999999999999998</v>
      </c>
    </row>
    <row r="57" spans="2:12">
      <c r="B57" s="110" t="s">
        <v>21</v>
      </c>
      <c r="C57" s="349" t="s">
        <v>196</v>
      </c>
      <c r="D57" s="349"/>
      <c r="E57" s="349"/>
      <c r="F57" s="349"/>
      <c r="G57" s="349"/>
      <c r="H57" s="349"/>
      <c r="I57" s="349"/>
      <c r="J57" s="349"/>
      <c r="K57" s="52">
        <v>4.0000000000000002E-4</v>
      </c>
      <c r="L57" s="29">
        <f t="shared" si="0"/>
        <v>0.62</v>
      </c>
    </row>
    <row r="58" spans="2:12">
      <c r="B58" s="110" t="s">
        <v>23</v>
      </c>
      <c r="C58" s="349" t="s">
        <v>195</v>
      </c>
      <c r="D58" s="349"/>
      <c r="E58" s="349"/>
      <c r="F58" s="349"/>
      <c r="G58" s="349"/>
      <c r="H58" s="349"/>
      <c r="I58" s="349"/>
      <c r="J58" s="349"/>
      <c r="K58" s="52">
        <f>K34*K57</f>
        <v>1.5075555555555558E-4</v>
      </c>
      <c r="L58" s="29">
        <f t="shared" si="0"/>
        <v>0.23</v>
      </c>
    </row>
    <row r="59" spans="2:12">
      <c r="B59" s="110" t="s">
        <v>6</v>
      </c>
      <c r="C59" s="349" t="s">
        <v>197</v>
      </c>
      <c r="D59" s="349"/>
      <c r="E59" s="349"/>
      <c r="F59" s="349"/>
      <c r="G59" s="349"/>
      <c r="H59" s="349"/>
      <c r="I59" s="349"/>
      <c r="J59" s="349"/>
      <c r="K59" s="116">
        <f>0.5*0.08*K57</f>
        <v>1.6000000000000003E-5</v>
      </c>
      <c r="L59" s="29">
        <f t="shared" si="0"/>
        <v>0.02</v>
      </c>
    </row>
    <row r="60" spans="2:12" ht="15" customHeight="1">
      <c r="B60" s="355" t="s">
        <v>193</v>
      </c>
      <c r="C60" s="356"/>
      <c r="D60" s="356"/>
      <c r="E60" s="356"/>
      <c r="F60" s="356"/>
      <c r="G60" s="356"/>
      <c r="H60" s="356"/>
      <c r="I60" s="356"/>
      <c r="J60" s="357"/>
      <c r="K60" s="121"/>
      <c r="L60" s="122">
        <f>SUM(L54:L59)</f>
        <v>8.18</v>
      </c>
    </row>
    <row r="61" spans="2:12">
      <c r="B61" s="37"/>
      <c r="C61" s="33"/>
      <c r="D61" s="33"/>
      <c r="E61" s="37"/>
      <c r="F61" s="37"/>
      <c r="G61" s="37"/>
      <c r="H61" s="37"/>
      <c r="I61" s="38"/>
      <c r="J61" s="39"/>
      <c r="K61" s="37"/>
    </row>
    <row r="62" spans="2:12">
      <c r="B62" s="409" t="s">
        <v>198</v>
      </c>
      <c r="C62" s="409"/>
      <c r="D62" s="409"/>
      <c r="E62" s="409"/>
      <c r="F62" s="409"/>
      <c r="G62" s="409"/>
      <c r="H62" s="409"/>
      <c r="I62" s="409"/>
      <c r="J62" s="409"/>
      <c r="K62" s="117"/>
      <c r="L62" s="118"/>
    </row>
    <row r="63" spans="2:12">
      <c r="B63" s="407" t="s">
        <v>203</v>
      </c>
      <c r="C63" s="408"/>
      <c r="D63" s="408"/>
      <c r="E63" s="408"/>
      <c r="F63" s="408"/>
      <c r="G63" s="408"/>
      <c r="H63" s="408"/>
      <c r="I63" s="408"/>
      <c r="J63" s="408"/>
      <c r="K63" s="112" t="s">
        <v>18</v>
      </c>
      <c r="L63" s="29" t="s">
        <v>178</v>
      </c>
    </row>
    <row r="64" spans="2:12">
      <c r="B64" s="87" t="s">
        <v>13</v>
      </c>
      <c r="C64" s="384" t="s">
        <v>199</v>
      </c>
      <c r="D64" s="384"/>
      <c r="E64" s="384"/>
      <c r="F64" s="384"/>
      <c r="G64" s="384"/>
      <c r="H64" s="384"/>
      <c r="I64" s="384"/>
      <c r="J64" s="384"/>
      <c r="K64" s="59">
        <f>1/12</f>
        <v>8.3333333333333329E-2</v>
      </c>
      <c r="L64" s="29">
        <f>K64*$L$17</f>
        <v>128.92666666666665</v>
      </c>
    </row>
    <row r="65" spans="2:13">
      <c r="B65" s="87" t="s">
        <v>15</v>
      </c>
      <c r="C65" s="349" t="s">
        <v>200</v>
      </c>
      <c r="D65" s="349"/>
      <c r="E65" s="349"/>
      <c r="F65" s="349"/>
      <c r="G65" s="451" t="s">
        <v>38</v>
      </c>
      <c r="H65" s="451"/>
      <c r="I65" s="451"/>
      <c r="J65" s="60">
        <v>3</v>
      </c>
      <c r="K65" s="59">
        <f>J65/30/12</f>
        <v>8.3333333333333332E-3</v>
      </c>
      <c r="L65" s="29">
        <f>K65*$L$17</f>
        <v>12.892666666666665</v>
      </c>
      <c r="M65" s="18" t="s">
        <v>180</v>
      </c>
    </row>
    <row r="66" spans="2:13">
      <c r="B66" s="87" t="s">
        <v>19</v>
      </c>
      <c r="C66" s="349" t="s">
        <v>39</v>
      </c>
      <c r="D66" s="349"/>
      <c r="E66" s="349"/>
      <c r="F66" s="349"/>
      <c r="G66" s="451" t="s">
        <v>37</v>
      </c>
      <c r="H66" s="451"/>
      <c r="I66" s="54">
        <v>1.4999999999999999E-2</v>
      </c>
      <c r="J66" s="61">
        <v>5</v>
      </c>
      <c r="K66" s="59">
        <f>J66/30/12*I66</f>
        <v>2.0833333333333332E-4</v>
      </c>
      <c r="L66" s="29">
        <f t="shared" ref="L66:L69" si="1">K66*$L$17</f>
        <v>0.32231666666666664</v>
      </c>
    </row>
    <row r="67" spans="2:13">
      <c r="B67" s="87" t="s">
        <v>21</v>
      </c>
      <c r="C67" s="451" t="s">
        <v>201</v>
      </c>
      <c r="D67" s="451"/>
      <c r="E67" s="451"/>
      <c r="F67" s="60"/>
      <c r="G67" s="451" t="s">
        <v>37</v>
      </c>
      <c r="H67" s="451"/>
      <c r="I67" s="54">
        <v>7.7999999999999996E-3</v>
      </c>
      <c r="J67" s="62">
        <v>15</v>
      </c>
      <c r="K67" s="59">
        <f>J67/30/12*I67</f>
        <v>3.2499999999999999E-4</v>
      </c>
      <c r="L67" s="29">
        <f t="shared" si="1"/>
        <v>0.50281399999999998</v>
      </c>
    </row>
    <row r="68" spans="2:13">
      <c r="B68" s="87" t="s">
        <v>23</v>
      </c>
      <c r="C68" s="451" t="s">
        <v>202</v>
      </c>
      <c r="D68" s="451"/>
      <c r="E68" s="451"/>
      <c r="F68" s="60"/>
      <c r="G68" s="452"/>
      <c r="H68" s="451"/>
      <c r="I68" s="54"/>
      <c r="J68" s="62"/>
      <c r="K68" s="59">
        <v>6.1000000000000004E-3</v>
      </c>
      <c r="L68" s="29">
        <f t="shared" si="1"/>
        <v>9.4374319999999994</v>
      </c>
      <c r="M68" s="82" t="s">
        <v>180</v>
      </c>
    </row>
    <row r="69" spans="2:13">
      <c r="B69" s="87" t="s">
        <v>6</v>
      </c>
      <c r="C69" s="453" t="s">
        <v>3</v>
      </c>
      <c r="D69" s="453"/>
      <c r="E69" s="453" t="s">
        <v>40</v>
      </c>
      <c r="F69" s="453"/>
      <c r="G69" s="453"/>
      <c r="H69" s="453"/>
      <c r="I69" s="453"/>
      <c r="J69" s="453"/>
      <c r="K69" s="63"/>
      <c r="L69" s="29">
        <f t="shared" si="1"/>
        <v>0</v>
      </c>
      <c r="M69" s="82"/>
    </row>
    <row r="70" spans="2:13">
      <c r="B70" s="449" t="s">
        <v>204</v>
      </c>
      <c r="C70" s="348"/>
      <c r="D70" s="348"/>
      <c r="E70" s="348"/>
      <c r="F70" s="348"/>
      <c r="G70" s="348"/>
      <c r="H70" s="348"/>
      <c r="I70" s="348"/>
      <c r="J70" s="450"/>
      <c r="K70" s="64"/>
      <c r="L70" s="29">
        <f>SUM(L64:L69)</f>
        <v>152.08189599999997</v>
      </c>
    </row>
    <row r="71" spans="2:13">
      <c r="B71" s="113"/>
      <c r="C71" s="114"/>
      <c r="D71" s="114"/>
      <c r="E71" s="114"/>
      <c r="F71" s="114"/>
      <c r="G71" s="114"/>
      <c r="H71" s="114"/>
      <c r="I71" s="114"/>
      <c r="J71" s="115"/>
      <c r="K71" s="52"/>
      <c r="L71" s="29"/>
    </row>
    <row r="72" spans="2:13">
      <c r="B72" s="407" t="s">
        <v>205</v>
      </c>
      <c r="C72" s="408"/>
      <c r="D72" s="408"/>
      <c r="E72" s="408"/>
      <c r="F72" s="408"/>
      <c r="G72" s="408"/>
      <c r="H72" s="408"/>
      <c r="I72" s="408"/>
      <c r="J72" s="408"/>
      <c r="K72" s="112" t="s">
        <v>18</v>
      </c>
      <c r="L72" s="29" t="s">
        <v>178</v>
      </c>
    </row>
    <row r="73" spans="2:13">
      <c r="B73" s="110" t="s">
        <v>13</v>
      </c>
      <c r="C73" s="384" t="s">
        <v>206</v>
      </c>
      <c r="D73" s="384"/>
      <c r="E73" s="384"/>
      <c r="F73" s="384"/>
      <c r="G73" s="384"/>
      <c r="H73" s="384"/>
      <c r="I73" s="384"/>
      <c r="J73" s="384"/>
      <c r="K73" s="59">
        <v>0</v>
      </c>
      <c r="L73" s="29">
        <f>K73*$L$17</f>
        <v>0</v>
      </c>
    </row>
    <row r="74" spans="2:13">
      <c r="B74" s="449" t="s">
        <v>207</v>
      </c>
      <c r="C74" s="348"/>
      <c r="D74" s="348"/>
      <c r="E74" s="348"/>
      <c r="F74" s="348"/>
      <c r="G74" s="348"/>
      <c r="H74" s="348"/>
      <c r="I74" s="348"/>
      <c r="J74" s="450"/>
      <c r="K74" s="64"/>
      <c r="L74" s="29">
        <f>SUM(L73:L73)</f>
        <v>0</v>
      </c>
    </row>
    <row r="75" spans="2:13">
      <c r="B75" s="113"/>
      <c r="C75" s="114"/>
      <c r="D75" s="114"/>
      <c r="E75" s="114"/>
      <c r="F75" s="114"/>
      <c r="G75" s="114"/>
      <c r="H75" s="114"/>
      <c r="I75" s="114"/>
      <c r="J75" s="114"/>
      <c r="K75" s="119"/>
      <c r="L75" s="29"/>
    </row>
    <row r="76" spans="2:13">
      <c r="B76" s="393" t="s">
        <v>208</v>
      </c>
      <c r="C76" s="393"/>
      <c r="D76" s="393"/>
      <c r="E76" s="393"/>
      <c r="F76" s="393"/>
      <c r="G76" s="393"/>
      <c r="H76" s="393"/>
      <c r="I76" s="393"/>
      <c r="J76" s="393"/>
      <c r="K76" s="393"/>
      <c r="L76" s="24">
        <f>L34</f>
        <v>598.36</v>
      </c>
    </row>
    <row r="77" spans="2:13">
      <c r="B77" s="110" t="s">
        <v>209</v>
      </c>
      <c r="C77" s="367" t="s">
        <v>200</v>
      </c>
      <c r="D77" s="368"/>
      <c r="E77" s="368"/>
      <c r="F77" s="368"/>
      <c r="G77" s="368"/>
      <c r="H77" s="368"/>
      <c r="I77" s="368"/>
      <c r="J77" s="369"/>
      <c r="K77" s="100"/>
      <c r="L77" s="29">
        <f>L70</f>
        <v>152.08189599999997</v>
      </c>
    </row>
    <row r="78" spans="2:13">
      <c r="B78" s="110" t="s">
        <v>210</v>
      </c>
      <c r="C78" s="367" t="s">
        <v>211</v>
      </c>
      <c r="D78" s="368"/>
      <c r="E78" s="368"/>
      <c r="F78" s="368"/>
      <c r="G78" s="368"/>
      <c r="H78" s="368"/>
      <c r="I78" s="368"/>
      <c r="J78" s="369"/>
      <c r="K78" s="100"/>
      <c r="L78" s="29">
        <f>L74</f>
        <v>0</v>
      </c>
    </row>
    <row r="79" spans="2:13">
      <c r="B79" s="355" t="s">
        <v>212</v>
      </c>
      <c r="C79" s="356"/>
      <c r="D79" s="356"/>
      <c r="E79" s="356"/>
      <c r="F79" s="356"/>
      <c r="G79" s="356"/>
      <c r="H79" s="356"/>
      <c r="I79" s="356"/>
      <c r="J79" s="357"/>
      <c r="K79" s="121"/>
      <c r="L79" s="122">
        <f>SUM(L77:L78)</f>
        <v>152.08189599999997</v>
      </c>
    </row>
    <row r="80" spans="2:13">
      <c r="B80" s="350"/>
      <c r="C80" s="351"/>
      <c r="D80" s="351"/>
      <c r="E80" s="351"/>
      <c r="F80" s="351"/>
      <c r="G80" s="351"/>
      <c r="H80" s="351"/>
      <c r="I80" s="351"/>
      <c r="J80" s="351"/>
      <c r="K80" s="351"/>
      <c r="L80" s="351"/>
    </row>
    <row r="81" spans="2:13">
      <c r="B81" s="409" t="s">
        <v>213</v>
      </c>
      <c r="C81" s="409"/>
      <c r="D81" s="409"/>
      <c r="E81" s="409"/>
      <c r="F81" s="409"/>
      <c r="G81" s="409"/>
      <c r="H81" s="409"/>
      <c r="I81" s="409"/>
      <c r="J81" s="409"/>
      <c r="K81" s="117"/>
      <c r="L81" s="118"/>
      <c r="M81" s="40"/>
    </row>
    <row r="82" spans="2:13">
      <c r="B82" s="87" t="s">
        <v>13</v>
      </c>
      <c r="C82" s="427" t="s">
        <v>66</v>
      </c>
      <c r="D82" s="427"/>
      <c r="E82" s="427"/>
      <c r="F82" s="427"/>
      <c r="G82" s="427"/>
      <c r="H82" s="427"/>
      <c r="I82" s="427"/>
      <c r="J82" s="427"/>
      <c r="K82" s="427"/>
      <c r="L82" s="29">
        <f>'Benef. e Insumos'!H54</f>
        <v>89.157499999999999</v>
      </c>
    </row>
    <row r="83" spans="2:13">
      <c r="B83" s="87" t="s">
        <v>15</v>
      </c>
      <c r="C83" s="374" t="s">
        <v>215</v>
      </c>
      <c r="D83" s="426"/>
      <c r="E83" s="441" t="s">
        <v>67</v>
      </c>
      <c r="F83" s="442"/>
      <c r="G83" s="442"/>
      <c r="H83" s="442"/>
      <c r="I83" s="443"/>
      <c r="J83" s="462">
        <v>0.12</v>
      </c>
      <c r="K83" s="463"/>
      <c r="L83" s="36" t="e">
        <f>(L17+L51+L60+L79+L82)/(1-J83)*J83</f>
        <v>#REF!</v>
      </c>
      <c r="M83" s="41"/>
    </row>
    <row r="84" spans="2:13">
      <c r="B84" s="111" t="s">
        <v>222</v>
      </c>
      <c r="C84" s="374" t="s">
        <v>223</v>
      </c>
      <c r="D84" s="426"/>
      <c r="E84" s="441"/>
      <c r="F84" s="442"/>
      <c r="G84" s="442"/>
      <c r="H84" s="442"/>
      <c r="I84" s="443"/>
      <c r="J84" s="444">
        <f>H95+H96</f>
        <v>9.2499999999999999E-2</v>
      </c>
      <c r="K84" s="445"/>
      <c r="L84" s="36" t="e">
        <f>-J84*L83</f>
        <v>#REF!</v>
      </c>
      <c r="M84" s="41"/>
    </row>
    <row r="85" spans="2:13">
      <c r="B85" s="110" t="s">
        <v>19</v>
      </c>
      <c r="C85" s="103" t="s">
        <v>214</v>
      </c>
      <c r="D85" s="104"/>
      <c r="E85" s="105"/>
      <c r="F85" s="106"/>
      <c r="G85" s="106"/>
      <c r="H85" s="106"/>
      <c r="I85" s="107"/>
      <c r="J85" s="108"/>
      <c r="K85" s="109"/>
      <c r="L85" s="36"/>
      <c r="M85" s="41"/>
    </row>
    <row r="86" spans="2:13">
      <c r="B86" s="87" t="s">
        <v>216</v>
      </c>
      <c r="C86" s="453" t="s">
        <v>3</v>
      </c>
      <c r="D86" s="453"/>
      <c r="E86" s="453"/>
      <c r="F86" s="453"/>
      <c r="G86" s="453"/>
      <c r="H86" s="453"/>
      <c r="I86" s="453"/>
      <c r="J86" s="453"/>
      <c r="K86" s="453"/>
      <c r="L86" s="36">
        <v>0</v>
      </c>
    </row>
    <row r="87" spans="2:13">
      <c r="B87" s="355" t="s">
        <v>219</v>
      </c>
      <c r="C87" s="356"/>
      <c r="D87" s="356"/>
      <c r="E87" s="356"/>
      <c r="F87" s="356"/>
      <c r="G87" s="356"/>
      <c r="H87" s="356"/>
      <c r="I87" s="356"/>
      <c r="J87" s="357"/>
      <c r="K87" s="121"/>
      <c r="L87" s="122" t="e">
        <f>SUM(L82:L86)</f>
        <v>#REF!</v>
      </c>
    </row>
    <row r="88" spans="2:13">
      <c r="B88" s="42"/>
      <c r="C88" s="42"/>
      <c r="D88" s="42"/>
      <c r="E88" s="42"/>
      <c r="F88" s="42"/>
      <c r="G88" s="42"/>
      <c r="H88" s="42"/>
      <c r="I88" s="89"/>
      <c r="J88" s="42"/>
      <c r="K88" s="42"/>
    </row>
    <row r="89" spans="2:13">
      <c r="B89" s="33"/>
      <c r="C89" s="33"/>
      <c r="D89" s="33"/>
      <c r="E89" s="33"/>
      <c r="F89" s="33"/>
      <c r="G89" s="33"/>
      <c r="H89" s="66"/>
      <c r="I89" s="66"/>
      <c r="J89" s="66"/>
      <c r="K89" s="66"/>
      <c r="L89" s="67"/>
    </row>
    <row r="90" spans="2:13">
      <c r="B90" s="409" t="s">
        <v>217</v>
      </c>
      <c r="C90" s="409"/>
      <c r="D90" s="409"/>
      <c r="E90" s="409"/>
      <c r="F90" s="409"/>
      <c r="G90" s="409"/>
      <c r="H90" s="409"/>
      <c r="I90" s="409"/>
      <c r="J90" s="409"/>
      <c r="K90" s="117"/>
      <c r="L90" s="118" t="str">
        <f>L5</f>
        <v>SERVENTE</v>
      </c>
    </row>
    <row r="91" spans="2:13">
      <c r="B91" s="87" t="s">
        <v>13</v>
      </c>
      <c r="C91" s="384" t="s">
        <v>218</v>
      </c>
      <c r="D91" s="384"/>
      <c r="E91" s="384"/>
      <c r="F91" s="384"/>
      <c r="G91" s="384"/>
      <c r="H91" s="384"/>
      <c r="I91" s="384"/>
      <c r="J91" s="384"/>
      <c r="K91" s="83">
        <v>0.05</v>
      </c>
      <c r="L91" s="45" t="e">
        <f>K91*L110</f>
        <v>#REF!</v>
      </c>
      <c r="M91" s="68"/>
    </row>
    <row r="92" spans="2:13">
      <c r="B92" s="87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3">
        <v>6.8099999999999994E-2</v>
      </c>
      <c r="L92" s="45" t="e">
        <f>K92*L110</f>
        <v>#REF!</v>
      </c>
      <c r="M92" s="68"/>
    </row>
    <row r="93" spans="2:13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 t="e">
        <f>L110+L91+L92</f>
        <v>#REF!</v>
      </c>
      <c r="K93" s="366"/>
      <c r="L93" s="65"/>
    </row>
    <row r="94" spans="2:13">
      <c r="B94" s="361"/>
      <c r="C94" s="447" t="s">
        <v>43</v>
      </c>
      <c r="D94" s="410"/>
      <c r="E94" s="410"/>
      <c r="F94" s="448"/>
      <c r="G94" s="88"/>
      <c r="H94" s="88" t="s">
        <v>44</v>
      </c>
      <c r="I94" s="88"/>
      <c r="J94" s="370"/>
      <c r="K94" s="371"/>
      <c r="L94" s="65"/>
    </row>
    <row r="95" spans="2:13">
      <c r="B95" s="361"/>
      <c r="C95" s="446" t="s">
        <v>45</v>
      </c>
      <c r="D95" s="446"/>
      <c r="E95" s="446"/>
      <c r="F95" s="446"/>
      <c r="G95" s="86" t="s">
        <v>46</v>
      </c>
      <c r="H95" s="53">
        <v>1.6500000000000001E-2</v>
      </c>
      <c r="I95" s="372">
        <f>SUM(H95:H100)</f>
        <v>0.13250000000000001</v>
      </c>
      <c r="J95" s="359" t="e">
        <f>ROUND($L$112*H95,2)</f>
        <v>#REF!</v>
      </c>
      <c r="K95" s="360"/>
      <c r="L95" s="423" t="e">
        <f>SUM(J95:K100)</f>
        <v>#REF!</v>
      </c>
    </row>
    <row r="96" spans="2:13">
      <c r="B96" s="361"/>
      <c r="C96" s="446"/>
      <c r="D96" s="446"/>
      <c r="E96" s="446"/>
      <c r="F96" s="446"/>
      <c r="G96" s="86" t="s">
        <v>47</v>
      </c>
      <c r="H96" s="53">
        <v>7.5999999999999998E-2</v>
      </c>
      <c r="I96" s="372"/>
      <c r="J96" s="359" t="e">
        <f t="shared" ref="J96:J100" si="2">ROUND($L$112*H96,2)</f>
        <v>#REF!</v>
      </c>
      <c r="K96" s="360"/>
      <c r="L96" s="424"/>
    </row>
    <row r="97" spans="2:12">
      <c r="B97" s="361"/>
      <c r="C97" s="446"/>
      <c r="D97" s="446"/>
      <c r="E97" s="446"/>
      <c r="F97" s="446"/>
      <c r="G97" s="86" t="s">
        <v>48</v>
      </c>
      <c r="H97" s="53">
        <v>0</v>
      </c>
      <c r="I97" s="372"/>
      <c r="J97" s="359" t="e">
        <f t="shared" si="2"/>
        <v>#REF!</v>
      </c>
      <c r="K97" s="360"/>
      <c r="L97" s="424"/>
    </row>
    <row r="98" spans="2:12">
      <c r="B98" s="361"/>
      <c r="C98" s="446" t="s">
        <v>49</v>
      </c>
      <c r="D98" s="446"/>
      <c r="E98" s="446"/>
      <c r="F98" s="446"/>
      <c r="G98" s="85" t="s">
        <v>50</v>
      </c>
      <c r="H98" s="53">
        <v>0.04</v>
      </c>
      <c r="I98" s="372"/>
      <c r="J98" s="359" t="e">
        <f t="shared" si="2"/>
        <v>#REF!</v>
      </c>
      <c r="K98" s="360"/>
      <c r="L98" s="424"/>
    </row>
    <row r="99" spans="2:12">
      <c r="B99" s="361"/>
      <c r="C99" s="446"/>
      <c r="D99" s="446"/>
      <c r="E99" s="446"/>
      <c r="F99" s="446"/>
      <c r="G99" s="85" t="s">
        <v>48</v>
      </c>
      <c r="H99" s="53">
        <v>0</v>
      </c>
      <c r="I99" s="372"/>
      <c r="J99" s="359" t="e">
        <f t="shared" si="2"/>
        <v>#REF!</v>
      </c>
      <c r="K99" s="360"/>
      <c r="L99" s="424"/>
    </row>
    <row r="100" spans="2:12">
      <c r="B100" s="361"/>
      <c r="C100" s="446" t="s">
        <v>51</v>
      </c>
      <c r="D100" s="446"/>
      <c r="E100" s="446"/>
      <c r="F100" s="446"/>
      <c r="G100" s="85"/>
      <c r="H100" s="53">
        <v>0</v>
      </c>
      <c r="I100" s="372"/>
      <c r="J100" s="359" t="e">
        <f t="shared" si="2"/>
        <v>#REF!</v>
      </c>
      <c r="K100" s="360"/>
      <c r="L100" s="425"/>
    </row>
    <row r="101" spans="2:12">
      <c r="B101" s="361" t="s">
        <v>52</v>
      </c>
      <c r="C101" s="361"/>
      <c r="D101" s="361"/>
      <c r="E101" s="361"/>
      <c r="F101" s="361"/>
      <c r="G101" s="361"/>
      <c r="H101" s="361"/>
      <c r="I101" s="361"/>
      <c r="J101" s="361"/>
      <c r="K101" s="361"/>
      <c r="L101" s="78" t="e">
        <f>L95+L92+L91</f>
        <v>#REF!</v>
      </c>
    </row>
    <row r="102" spans="2:12">
      <c r="B102" s="69"/>
      <c r="C102" s="69"/>
      <c r="D102" s="69"/>
      <c r="E102" s="69"/>
      <c r="F102" s="69"/>
      <c r="G102" s="69"/>
      <c r="H102" s="69"/>
      <c r="I102" s="70"/>
      <c r="J102" s="71"/>
      <c r="K102" s="69"/>
    </row>
    <row r="103" spans="2:12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2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4" t="str">
        <f>L5</f>
        <v>SERVENTE</v>
      </c>
    </row>
    <row r="105" spans="2:12">
      <c r="B105" s="87" t="s">
        <v>13</v>
      </c>
      <c r="C105" s="384" t="str">
        <f>B6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2">
        <f>L17</f>
        <v>1547.12</v>
      </c>
    </row>
    <row r="106" spans="2:12">
      <c r="B106" s="87" t="s">
        <v>15</v>
      </c>
      <c r="C106" s="384" t="str">
        <f>B19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2" t="e">
        <f>L51</f>
        <v>#REF!</v>
      </c>
    </row>
    <row r="107" spans="2:12">
      <c r="B107" s="87" t="s">
        <v>19</v>
      </c>
      <c r="C107" s="384" t="str">
        <f>B53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2">
        <f>L60</f>
        <v>8.18</v>
      </c>
    </row>
    <row r="108" spans="2:12">
      <c r="B108" s="87" t="s">
        <v>21</v>
      </c>
      <c r="C108" s="384" t="str">
        <f>B62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2">
        <f>L79</f>
        <v>152.08189599999997</v>
      </c>
    </row>
    <row r="109" spans="2:12">
      <c r="B109" s="110" t="s">
        <v>23</v>
      </c>
      <c r="C109" s="384" t="str">
        <f>B81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2" t="e">
        <f>L87</f>
        <v>#REF!</v>
      </c>
    </row>
    <row r="110" spans="2:12">
      <c r="B110" s="395" t="s">
        <v>221</v>
      </c>
      <c r="C110" s="395"/>
      <c r="D110" s="395"/>
      <c r="E110" s="395"/>
      <c r="F110" s="395"/>
      <c r="G110" s="395"/>
      <c r="H110" s="395"/>
      <c r="I110" s="395"/>
      <c r="J110" s="395"/>
      <c r="K110" s="395"/>
      <c r="L110" s="79" t="e">
        <f>SUM(L105:L109)</f>
        <v>#REF!</v>
      </c>
    </row>
    <row r="111" spans="2:12">
      <c r="B111" s="87" t="s">
        <v>23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3" t="e">
        <f>L112-L110</f>
        <v>#REF!</v>
      </c>
    </row>
    <row r="112" spans="2:12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80" t="e">
        <f>ROUND(J93/(1-$I$95),2)</f>
        <v>#REF!</v>
      </c>
    </row>
    <row r="113" spans="6:12">
      <c r="K113" s="68"/>
    </row>
    <row r="115" spans="6:12">
      <c r="F115" s="390" t="s">
        <v>57</v>
      </c>
      <c r="G115" s="391"/>
      <c r="H115" s="391"/>
      <c r="I115" s="392"/>
      <c r="J115" s="18"/>
      <c r="L115" s="18"/>
    </row>
    <row r="116" spans="6:12">
      <c r="F116" s="390" t="s">
        <v>58</v>
      </c>
      <c r="G116" s="391"/>
      <c r="H116" s="392"/>
      <c r="I116" s="74" t="s">
        <v>18</v>
      </c>
      <c r="J116" s="18"/>
      <c r="L116" s="18"/>
    </row>
    <row r="117" spans="6:12">
      <c r="F117" s="75" t="s">
        <v>59</v>
      </c>
      <c r="G117" s="75"/>
      <c r="H117" s="76"/>
      <c r="I117" s="76">
        <f>K91</f>
        <v>0.05</v>
      </c>
      <c r="J117" s="18"/>
      <c r="L117" s="18"/>
    </row>
    <row r="118" spans="6:12">
      <c r="F118" s="378" t="s">
        <v>41</v>
      </c>
      <c r="G118" s="379"/>
      <c r="H118" s="380"/>
      <c r="I118" s="76">
        <f>K92</f>
        <v>6.8099999999999994E-2</v>
      </c>
      <c r="J118" s="18"/>
      <c r="L118" s="18"/>
    </row>
    <row r="119" spans="6:12">
      <c r="F119" s="75" t="s">
        <v>60</v>
      </c>
      <c r="G119" s="75"/>
      <c r="H119" s="76"/>
      <c r="I119" s="76">
        <f>I95</f>
        <v>0.13250000000000001</v>
      </c>
      <c r="J119" s="18"/>
      <c r="L119" s="18"/>
    </row>
    <row r="120" spans="6:12">
      <c r="F120" s="381" t="s">
        <v>61</v>
      </c>
      <c r="G120" s="382"/>
      <c r="H120" s="383"/>
      <c r="I120" s="76">
        <f>(1+I117)*(1+I118)/(1-I119)-1</f>
        <v>0.29280115273775253</v>
      </c>
      <c r="J120" s="18"/>
      <c r="L120" s="18"/>
    </row>
  </sheetData>
  <mergeCells count="126"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</mergeCells>
  <pageMargins left="0.511811024" right="0.511811024" top="0.78740157499999996" bottom="0.78740157499999996" header="0.31496062000000002" footer="0.31496062000000002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topLeftCell="A64" workbookViewId="0">
      <selection activeCell="G85" sqref="G85"/>
    </sheetView>
  </sheetViews>
  <sheetFormatPr defaultColWidth="11.85546875" defaultRowHeight="15"/>
  <cols>
    <col min="1" max="1" width="6.28515625" style="18" customWidth="1"/>
    <col min="2" max="2" width="4.5703125" style="18" customWidth="1"/>
    <col min="3" max="3" width="9" style="18" customWidth="1"/>
    <col min="4" max="4" width="25" style="18" customWidth="1"/>
    <col min="5" max="5" width="4.7109375" style="18" bestFit="1" customWidth="1"/>
    <col min="6" max="6" width="9" style="18" bestFit="1" customWidth="1"/>
    <col min="7" max="7" width="10.42578125" style="18" customWidth="1"/>
    <col min="8" max="8" width="10.7109375" style="18" customWidth="1"/>
    <col min="9" max="9" width="16.7109375" style="50" customWidth="1"/>
    <col min="10" max="10" width="9" style="51" bestFit="1" customWidth="1"/>
    <col min="11" max="11" width="9.140625" style="18" bestFit="1" customWidth="1"/>
    <col min="12" max="12" width="12.7109375" style="35" bestFit="1" customWidth="1"/>
    <col min="13" max="13" width="13.28515625" style="18" bestFit="1" customWidth="1"/>
    <col min="14" max="16384" width="11.85546875" style="18"/>
  </cols>
  <sheetData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9" customFormat="1">
      <c r="B3" s="456" t="e">
        <f>#REF!</f>
        <v>#REF!</v>
      </c>
      <c r="C3" s="457"/>
      <c r="D3" s="457"/>
      <c r="E3" s="457"/>
      <c r="F3" s="457"/>
      <c r="G3" s="457"/>
      <c r="H3" s="457"/>
      <c r="I3" s="457"/>
      <c r="J3" s="457"/>
      <c r="K3" s="457"/>
      <c r="L3" s="458"/>
    </row>
    <row r="4" spans="2:13" s="19" customFormat="1">
      <c r="B4" s="459"/>
      <c r="C4" s="460"/>
      <c r="D4" s="460"/>
      <c r="E4" s="460"/>
      <c r="F4" s="460"/>
      <c r="G4" s="460"/>
      <c r="H4" s="460"/>
      <c r="I4" s="460"/>
      <c r="J4" s="460"/>
      <c r="K4" s="460"/>
      <c r="L4" s="461"/>
    </row>
    <row r="5" spans="2:13">
      <c r="B5" s="20"/>
      <c r="C5" s="21"/>
      <c r="D5" s="21"/>
      <c r="E5" s="21"/>
      <c r="F5" s="21"/>
      <c r="G5" s="21"/>
      <c r="H5" s="21"/>
      <c r="I5" s="22"/>
      <c r="J5" s="21"/>
      <c r="K5" s="23"/>
      <c r="L5" s="24" t="s">
        <v>62</v>
      </c>
    </row>
    <row r="6" spans="2:13">
      <c r="B6" s="409" t="s">
        <v>12</v>
      </c>
      <c r="C6" s="409"/>
      <c r="D6" s="409"/>
      <c r="E6" s="409"/>
      <c r="F6" s="409"/>
      <c r="G6" s="409"/>
      <c r="H6" s="409"/>
      <c r="I6" s="409"/>
      <c r="J6" s="409"/>
      <c r="K6" s="409"/>
      <c r="L6" s="409"/>
    </row>
    <row r="7" spans="2:13">
      <c r="B7" s="87" t="s">
        <v>13</v>
      </c>
      <c r="C7" s="384" t="s">
        <v>14</v>
      </c>
      <c r="D7" s="384"/>
      <c r="E7" s="384"/>
      <c r="F7" s="384"/>
      <c r="G7" s="384"/>
      <c r="H7" s="384"/>
      <c r="I7" s="384"/>
      <c r="J7" s="384"/>
      <c r="K7" s="384"/>
      <c r="L7" s="26">
        <f>'Benef. e Insumos'!E10</f>
        <v>1547.12</v>
      </c>
    </row>
    <row r="8" spans="2:13">
      <c r="B8" s="99" t="s">
        <v>166</v>
      </c>
      <c r="C8" s="384" t="s">
        <v>167</v>
      </c>
      <c r="D8" s="384"/>
      <c r="E8" s="384"/>
      <c r="F8" s="384"/>
      <c r="G8" s="384"/>
      <c r="H8" s="384"/>
      <c r="I8" s="384"/>
      <c r="J8" s="384"/>
      <c r="K8" s="384"/>
      <c r="L8" s="26"/>
    </row>
    <row r="9" spans="2:13">
      <c r="B9" s="87" t="s">
        <v>15</v>
      </c>
      <c r="C9" s="384" t="s">
        <v>16</v>
      </c>
      <c r="D9" s="384"/>
      <c r="E9" s="384"/>
      <c r="F9" s="349" t="s">
        <v>17</v>
      </c>
      <c r="G9" s="349"/>
      <c r="H9" s="349"/>
      <c r="I9" s="349"/>
      <c r="J9" s="27" t="s">
        <v>18</v>
      </c>
      <c r="K9" s="28">
        <v>0</v>
      </c>
      <c r="L9" s="29">
        <v>0</v>
      </c>
      <c r="M9" s="30"/>
    </row>
    <row r="10" spans="2:13">
      <c r="B10" s="110" t="s">
        <v>19</v>
      </c>
      <c r="C10" s="367" t="s">
        <v>172</v>
      </c>
      <c r="D10" s="368"/>
      <c r="E10" s="368"/>
      <c r="F10" s="368"/>
      <c r="G10" s="368"/>
      <c r="H10" s="368"/>
      <c r="I10" s="369"/>
      <c r="J10" s="27" t="s">
        <v>18</v>
      </c>
      <c r="K10" s="28">
        <v>0</v>
      </c>
      <c r="L10" s="29">
        <v>0</v>
      </c>
      <c r="M10" s="30"/>
    </row>
    <row r="11" spans="2:13">
      <c r="B11" s="110" t="s">
        <v>21</v>
      </c>
      <c r="C11" s="367" t="s">
        <v>169</v>
      </c>
      <c r="D11" s="368"/>
      <c r="E11" s="368"/>
      <c r="F11" s="368"/>
      <c r="G11" s="368"/>
      <c r="H11" s="368"/>
      <c r="I11" s="369"/>
      <c r="J11" s="27" t="s">
        <v>18</v>
      </c>
      <c r="K11" s="28">
        <v>0</v>
      </c>
      <c r="L11" s="29">
        <v>0</v>
      </c>
      <c r="M11" s="30"/>
    </row>
    <row r="12" spans="2:13">
      <c r="B12" s="110" t="s">
        <v>23</v>
      </c>
      <c r="C12" s="367" t="s">
        <v>170</v>
      </c>
      <c r="D12" s="368"/>
      <c r="E12" s="368"/>
      <c r="F12" s="368"/>
      <c r="G12" s="368"/>
      <c r="H12" s="368"/>
      <c r="I12" s="369"/>
      <c r="J12" s="27" t="s">
        <v>18</v>
      </c>
      <c r="K12" s="28">
        <v>0</v>
      </c>
      <c r="L12" s="29">
        <v>0</v>
      </c>
      <c r="M12" s="30"/>
    </row>
    <row r="13" spans="2:13">
      <c r="B13" s="110" t="s">
        <v>6</v>
      </c>
      <c r="C13" s="367" t="s">
        <v>171</v>
      </c>
      <c r="D13" s="368"/>
      <c r="E13" s="368"/>
      <c r="F13" s="368"/>
      <c r="G13" s="368"/>
      <c r="H13" s="368"/>
      <c r="I13" s="369"/>
      <c r="J13" s="27" t="s">
        <v>18</v>
      </c>
      <c r="K13" s="28">
        <v>0</v>
      </c>
      <c r="L13" s="29">
        <v>0</v>
      </c>
      <c r="M13" s="30"/>
    </row>
    <row r="14" spans="2:13">
      <c r="B14" s="110" t="s">
        <v>24</v>
      </c>
      <c r="C14" s="399" t="s">
        <v>20</v>
      </c>
      <c r="D14" s="399"/>
      <c r="E14" s="399"/>
      <c r="F14" s="399"/>
      <c r="G14" s="399"/>
      <c r="H14" s="399"/>
      <c r="I14" s="399"/>
      <c r="J14" s="27" t="s">
        <v>18</v>
      </c>
      <c r="K14" s="31">
        <v>0</v>
      </c>
      <c r="L14" s="29">
        <v>0</v>
      </c>
      <c r="M14" s="30"/>
    </row>
    <row r="15" spans="2:13">
      <c r="B15" s="110" t="s">
        <v>25</v>
      </c>
      <c r="C15" s="416" t="s">
        <v>22</v>
      </c>
      <c r="D15" s="416"/>
      <c r="E15" s="416"/>
      <c r="F15" s="416"/>
      <c r="G15" s="416"/>
      <c r="H15" s="416"/>
      <c r="I15" s="416"/>
      <c r="J15" s="416"/>
      <c r="K15" s="416"/>
      <c r="L15" s="29">
        <v>0</v>
      </c>
      <c r="M15" s="30"/>
    </row>
    <row r="16" spans="2:13">
      <c r="B16" s="110" t="s">
        <v>168</v>
      </c>
      <c r="C16" s="453" t="s">
        <v>3</v>
      </c>
      <c r="D16" s="453"/>
      <c r="E16" s="453"/>
      <c r="F16" s="453"/>
      <c r="G16" s="453"/>
      <c r="H16" s="453"/>
      <c r="I16" s="453"/>
      <c r="J16" s="453"/>
      <c r="K16" s="453"/>
      <c r="L16" s="29"/>
      <c r="M16" s="30"/>
    </row>
    <row r="17" spans="2:13">
      <c r="B17" s="417" t="s">
        <v>220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120">
        <f>SUM(L7:L16)</f>
        <v>1547.12</v>
      </c>
      <c r="M17" s="32"/>
    </row>
    <row r="18" spans="2:13">
      <c r="B18" s="33"/>
      <c r="C18" s="33"/>
      <c r="D18" s="33"/>
      <c r="E18" s="33"/>
      <c r="F18" s="33"/>
      <c r="G18" s="33"/>
      <c r="H18" s="33"/>
      <c r="I18" s="34"/>
      <c r="J18" s="33"/>
      <c r="K18" s="33"/>
    </row>
    <row r="19" spans="2:13">
      <c r="B19" s="409" t="s">
        <v>173</v>
      </c>
      <c r="C19" s="409"/>
      <c r="D19" s="409"/>
      <c r="E19" s="409"/>
      <c r="F19" s="409"/>
      <c r="G19" s="409"/>
      <c r="H19" s="409"/>
      <c r="I19" s="409"/>
      <c r="J19" s="409"/>
      <c r="K19" s="409"/>
      <c r="L19" s="24" t="str">
        <f>L5</f>
        <v>SERVENTE</v>
      </c>
    </row>
    <row r="20" spans="2:13">
      <c r="B20" s="407" t="s">
        <v>174</v>
      </c>
      <c r="C20" s="408"/>
      <c r="D20" s="408"/>
      <c r="E20" s="408"/>
      <c r="F20" s="408"/>
      <c r="G20" s="408"/>
      <c r="H20" s="408"/>
      <c r="I20" s="408"/>
      <c r="J20" s="408"/>
      <c r="K20" s="112" t="s">
        <v>18</v>
      </c>
      <c r="L20" s="29" t="s">
        <v>178</v>
      </c>
    </row>
    <row r="21" spans="2:13">
      <c r="B21" s="110" t="s">
        <v>13</v>
      </c>
      <c r="C21" s="367" t="s">
        <v>175</v>
      </c>
      <c r="D21" s="368"/>
      <c r="E21" s="368"/>
      <c r="F21" s="368"/>
      <c r="G21" s="368"/>
      <c r="H21" s="368"/>
      <c r="I21" s="368"/>
      <c r="J21" s="369"/>
      <c r="K21" s="52">
        <v>8.3299999999999999E-2</v>
      </c>
      <c r="L21" s="29">
        <f>K21*L17</f>
        <v>128.87509599999998</v>
      </c>
    </row>
    <row r="22" spans="2:13">
      <c r="B22" s="110" t="s">
        <v>15</v>
      </c>
      <c r="C22" s="367" t="s">
        <v>176</v>
      </c>
      <c r="D22" s="368"/>
      <c r="E22" s="368"/>
      <c r="F22" s="368"/>
      <c r="G22" s="368"/>
      <c r="H22" s="368"/>
      <c r="I22" s="368"/>
      <c r="J22" s="369"/>
      <c r="K22" s="52">
        <v>2.7799999999999998E-2</v>
      </c>
      <c r="L22" s="29">
        <f>K22*L17</f>
        <v>43.009935999999996</v>
      </c>
    </row>
    <row r="23" spans="2:13">
      <c r="B23" s="449" t="s">
        <v>177</v>
      </c>
      <c r="C23" s="348"/>
      <c r="D23" s="348"/>
      <c r="E23" s="348"/>
      <c r="F23" s="348"/>
      <c r="G23" s="348"/>
      <c r="H23" s="348"/>
      <c r="I23" s="348"/>
      <c r="J23" s="450"/>
      <c r="K23" s="52">
        <f>SUM(K21:K22)</f>
        <v>0.1111</v>
      </c>
      <c r="L23" s="29">
        <f>SUM(L21:L22)</f>
        <v>171.88503199999997</v>
      </c>
    </row>
    <row r="24" spans="2:13">
      <c r="B24" s="113"/>
      <c r="C24" s="114"/>
      <c r="D24" s="114"/>
      <c r="E24" s="114"/>
      <c r="F24" s="114"/>
      <c r="G24" s="114"/>
      <c r="H24" s="114"/>
      <c r="I24" s="114"/>
      <c r="J24" s="115"/>
      <c r="K24" s="52"/>
      <c r="L24" s="29"/>
    </row>
    <row r="25" spans="2:13">
      <c r="B25" s="407" t="s">
        <v>179</v>
      </c>
      <c r="C25" s="408"/>
      <c r="D25" s="408"/>
      <c r="E25" s="408"/>
      <c r="F25" s="408"/>
      <c r="G25" s="408"/>
      <c r="H25" s="408"/>
      <c r="I25" s="408"/>
      <c r="J25" s="408"/>
      <c r="K25" s="112" t="s">
        <v>18</v>
      </c>
      <c r="L25" s="29" t="s">
        <v>178</v>
      </c>
    </row>
    <row r="26" spans="2:13">
      <c r="B26" s="92" t="s">
        <v>13</v>
      </c>
      <c r="C26" s="349" t="s">
        <v>26</v>
      </c>
      <c r="D26" s="349"/>
      <c r="E26" s="349"/>
      <c r="F26" s="349"/>
      <c r="G26" s="349"/>
      <c r="H26" s="349"/>
      <c r="I26" s="349"/>
      <c r="J26" s="349"/>
      <c r="K26" s="44">
        <v>0.2</v>
      </c>
      <c r="L26" s="45">
        <f>ROUND($K$26*L17,2)</f>
        <v>309.42</v>
      </c>
    </row>
    <row r="27" spans="2:13">
      <c r="B27" s="92" t="s">
        <v>15</v>
      </c>
      <c r="C27" s="349" t="s">
        <v>27</v>
      </c>
      <c r="D27" s="349"/>
      <c r="E27" s="349"/>
      <c r="F27" s="349"/>
      <c r="G27" s="349"/>
      <c r="H27" s="349"/>
      <c r="I27" s="349"/>
      <c r="J27" s="349"/>
      <c r="K27" s="44">
        <v>1.4999999999999999E-2</v>
      </c>
      <c r="L27" s="45">
        <f>ROUND($K$27*L17,2)</f>
        <v>23.21</v>
      </c>
    </row>
    <row r="28" spans="2:13">
      <c r="B28" s="92" t="s">
        <v>19</v>
      </c>
      <c r="C28" s="349" t="s">
        <v>28</v>
      </c>
      <c r="D28" s="349"/>
      <c r="E28" s="349"/>
      <c r="F28" s="349"/>
      <c r="G28" s="349"/>
      <c r="H28" s="349"/>
      <c r="I28" s="349"/>
      <c r="J28" s="349"/>
      <c r="K28" s="44">
        <v>0.01</v>
      </c>
      <c r="L28" s="45">
        <f>ROUND(K28*$L$17,2)</f>
        <v>15.47</v>
      </c>
    </row>
    <row r="29" spans="2:13">
      <c r="B29" s="92" t="s">
        <v>21</v>
      </c>
      <c r="C29" s="349" t="s">
        <v>29</v>
      </c>
      <c r="D29" s="349"/>
      <c r="E29" s="349"/>
      <c r="F29" s="349"/>
      <c r="G29" s="349"/>
      <c r="H29" s="349"/>
      <c r="I29" s="349"/>
      <c r="J29" s="349"/>
      <c r="K29" s="44">
        <v>2E-3</v>
      </c>
      <c r="L29" s="45">
        <f>ROUND(K29*$L$17,2)</f>
        <v>3.09</v>
      </c>
    </row>
    <row r="30" spans="2:13">
      <c r="B30" s="92" t="s">
        <v>23</v>
      </c>
      <c r="C30" s="349" t="s">
        <v>30</v>
      </c>
      <c r="D30" s="349"/>
      <c r="E30" s="349"/>
      <c r="F30" s="349"/>
      <c r="G30" s="349"/>
      <c r="H30" s="349"/>
      <c r="I30" s="349"/>
      <c r="J30" s="349"/>
      <c r="K30" s="44">
        <v>2.5000000000000001E-2</v>
      </c>
      <c r="L30" s="45">
        <f>ROUND(K30*$L$17,2)</f>
        <v>38.68</v>
      </c>
      <c r="M30" s="46"/>
    </row>
    <row r="31" spans="2:13">
      <c r="B31" s="92" t="s">
        <v>6</v>
      </c>
      <c r="C31" s="367" t="s">
        <v>165</v>
      </c>
      <c r="D31" s="369"/>
      <c r="E31" s="454">
        <v>0.08</v>
      </c>
      <c r="F31" s="455"/>
      <c r="G31" s="367" t="s">
        <v>164</v>
      </c>
      <c r="H31" s="368"/>
      <c r="I31" s="368"/>
      <c r="J31" s="369"/>
      <c r="K31" s="44">
        <f>E31*(1+(1/12)+(1/12/3))</f>
        <v>8.8888888888888878E-2</v>
      </c>
      <c r="L31" s="45">
        <f>ROUND(K31*($L$17+(1/3/12*L17)+(1/12*L17)),2)</f>
        <v>152.80000000000001</v>
      </c>
      <c r="M31" s="18" t="s">
        <v>180</v>
      </c>
    </row>
    <row r="32" spans="2:13">
      <c r="B32" s="92" t="s">
        <v>24</v>
      </c>
      <c r="C32" s="349" t="s">
        <v>31</v>
      </c>
      <c r="D32" s="349"/>
      <c r="E32" s="349"/>
      <c r="F32" s="349"/>
      <c r="G32" s="91" t="s">
        <v>32</v>
      </c>
      <c r="H32" s="48">
        <v>0.03</v>
      </c>
      <c r="I32" s="91" t="s">
        <v>33</v>
      </c>
      <c r="J32" s="81">
        <v>1</v>
      </c>
      <c r="K32" s="49">
        <f>H32*J32</f>
        <v>0.03</v>
      </c>
      <c r="L32" s="45">
        <f>ROUND(K32*$L$17,2)</f>
        <v>46.41</v>
      </c>
    </row>
    <row r="33" spans="2:20">
      <c r="B33" s="92" t="s">
        <v>25</v>
      </c>
      <c r="C33" s="349" t="s">
        <v>34</v>
      </c>
      <c r="D33" s="349"/>
      <c r="E33" s="349"/>
      <c r="F33" s="349"/>
      <c r="G33" s="349"/>
      <c r="H33" s="349"/>
      <c r="I33" s="349"/>
      <c r="J33" s="349"/>
      <c r="K33" s="44">
        <v>6.0000000000000001E-3</v>
      </c>
      <c r="L33" s="45">
        <f>ROUND(K33*$L$17,2)</f>
        <v>9.2799999999999994</v>
      </c>
      <c r="M33" s="19"/>
      <c r="N33" s="19"/>
      <c r="O33" s="19"/>
      <c r="P33" s="19"/>
      <c r="Q33" s="19"/>
      <c r="R33" s="19"/>
      <c r="S33" s="19"/>
      <c r="T33" s="19"/>
    </row>
    <row r="34" spans="2:20">
      <c r="B34" s="449" t="s">
        <v>181</v>
      </c>
      <c r="C34" s="348"/>
      <c r="D34" s="348"/>
      <c r="E34" s="348"/>
      <c r="F34" s="348"/>
      <c r="G34" s="348"/>
      <c r="H34" s="348"/>
      <c r="I34" s="348"/>
      <c r="J34" s="450"/>
      <c r="K34" s="52">
        <f>SUM(K26:K33)</f>
        <v>0.37688888888888894</v>
      </c>
      <c r="L34" s="29">
        <f>SUM(L26:L33)</f>
        <v>598.36</v>
      </c>
      <c r="M34" s="19"/>
      <c r="N34" s="19"/>
      <c r="O34" s="19"/>
      <c r="P34" s="19"/>
      <c r="Q34" s="19"/>
      <c r="R34" s="19"/>
      <c r="S34" s="19"/>
      <c r="T34" s="19"/>
    </row>
    <row r="35" spans="2:20">
      <c r="B35" s="113"/>
      <c r="C35" s="114"/>
      <c r="D35" s="114"/>
      <c r="E35" s="114"/>
      <c r="F35" s="114"/>
      <c r="G35" s="114"/>
      <c r="H35" s="114"/>
      <c r="I35" s="114"/>
      <c r="J35" s="115"/>
      <c r="K35" s="52"/>
      <c r="L35" s="29"/>
      <c r="M35" s="19"/>
      <c r="N35" s="19"/>
      <c r="O35" s="19"/>
      <c r="P35" s="19"/>
      <c r="Q35" s="19"/>
      <c r="R35" s="19"/>
      <c r="S35" s="19"/>
      <c r="T35" s="19"/>
    </row>
    <row r="36" spans="2:20">
      <c r="B36" s="407" t="s">
        <v>182</v>
      </c>
      <c r="C36" s="408"/>
      <c r="D36" s="408"/>
      <c r="E36" s="408"/>
      <c r="F36" s="408"/>
      <c r="G36" s="408"/>
      <c r="H36" s="408"/>
      <c r="I36" s="408"/>
      <c r="J36" s="408"/>
      <c r="K36" s="112"/>
      <c r="L36" s="29" t="s">
        <v>178</v>
      </c>
    </row>
    <row r="37" spans="2:20">
      <c r="B37" s="87" t="s">
        <v>13</v>
      </c>
      <c r="C37" s="367" t="str">
        <f>'Benef. e Insumos'!B19</f>
        <v xml:space="preserve">CLÁUSULA SÉTIMA - CESTA BÁSICA </v>
      </c>
      <c r="D37" s="368"/>
      <c r="E37" s="368"/>
      <c r="F37" s="368"/>
      <c r="G37" s="368"/>
      <c r="H37" s="368"/>
      <c r="I37" s="368"/>
      <c r="J37" s="369"/>
      <c r="K37" s="100"/>
      <c r="L37" s="29">
        <f>'Benef. e Insumos'!D21</f>
        <v>0</v>
      </c>
    </row>
    <row r="38" spans="2:20">
      <c r="B38" s="87" t="s">
        <v>15</v>
      </c>
      <c r="C38" s="367" t="str">
        <f>'Benef. e Insumos'!B13</f>
        <v>CLÁUSULA SÉTIMA - TÍQUETE REFEIÇÃO</v>
      </c>
      <c r="D38" s="368"/>
      <c r="E38" s="368"/>
      <c r="F38" s="368"/>
      <c r="G38" s="368"/>
      <c r="H38" s="368"/>
      <c r="I38" s="368"/>
      <c r="J38" s="369"/>
      <c r="K38" s="100"/>
      <c r="L38" s="29">
        <f>'Benef. e Insumos'!H17</f>
        <v>300.12</v>
      </c>
    </row>
    <row r="39" spans="2:20">
      <c r="B39" s="87" t="s">
        <v>19</v>
      </c>
      <c r="C39" s="367" t="e">
        <f>'Benef. e Insumos'!#REF!</f>
        <v>#REF!</v>
      </c>
      <c r="D39" s="368"/>
      <c r="E39" s="368"/>
      <c r="F39" s="368"/>
      <c r="G39" s="368"/>
      <c r="H39" s="368"/>
      <c r="I39" s="368"/>
      <c r="J39" s="369"/>
      <c r="K39" s="100"/>
      <c r="L39" s="29" t="e">
        <f>'Benef. e Insumos'!#REF!</f>
        <v>#REF!</v>
      </c>
    </row>
    <row r="40" spans="2:20">
      <c r="B40" s="99" t="s">
        <v>21</v>
      </c>
      <c r="C40" s="367" t="e">
        <f>'Benef. e Insumos'!#REF!</f>
        <v>#REF!</v>
      </c>
      <c r="D40" s="368"/>
      <c r="E40" s="368"/>
      <c r="F40" s="368"/>
      <c r="G40" s="368"/>
      <c r="H40" s="368"/>
      <c r="I40" s="368"/>
      <c r="J40" s="369"/>
      <c r="K40" s="100"/>
      <c r="L40" s="29" t="e">
        <f>'Benef. e Insumos'!#REF!</f>
        <v>#REF!</v>
      </c>
    </row>
    <row r="41" spans="2:20">
      <c r="B41" s="99" t="s">
        <v>23</v>
      </c>
      <c r="C41" s="367" t="e">
        <f>'Benef. e Insumos'!#REF!</f>
        <v>#REF!</v>
      </c>
      <c r="D41" s="368"/>
      <c r="E41" s="368"/>
      <c r="F41" s="368"/>
      <c r="G41" s="368"/>
      <c r="H41" s="368"/>
      <c r="I41" s="368"/>
      <c r="J41" s="369"/>
      <c r="K41" s="101"/>
      <c r="L41" s="29" t="e">
        <f>'Benef. e Insumos'!#REF!</f>
        <v>#REF!</v>
      </c>
    </row>
    <row r="42" spans="2:20">
      <c r="B42" s="99" t="s">
        <v>6</v>
      </c>
      <c r="C42" s="367" t="e">
        <f>'Benef. e Insumos'!#REF!</f>
        <v>#REF!</v>
      </c>
      <c r="D42" s="368"/>
      <c r="E42" s="368"/>
      <c r="F42" s="368"/>
      <c r="G42" s="368"/>
      <c r="H42" s="368"/>
      <c r="I42" s="368"/>
      <c r="J42" s="369"/>
      <c r="K42" s="102"/>
      <c r="L42" s="29" t="e">
        <f>'Benef. e Insumos'!#REF!</f>
        <v>#REF!</v>
      </c>
    </row>
    <row r="43" spans="2:20">
      <c r="B43" s="99" t="s">
        <v>24</v>
      </c>
      <c r="C43" s="367" t="str">
        <f>'Benef. e Insumos'!B27</f>
        <v xml:space="preserve"> AUXÍLIO TRANSPORTE</v>
      </c>
      <c r="D43" s="368"/>
      <c r="E43" s="368"/>
      <c r="F43" s="368"/>
      <c r="G43" s="368"/>
      <c r="H43" s="368"/>
      <c r="I43" s="368"/>
      <c r="J43" s="369"/>
      <c r="K43" s="102"/>
      <c r="L43" s="29">
        <f>'Benef. e Insumos'!G29</f>
        <v>21.172800000000009</v>
      </c>
    </row>
    <row r="44" spans="2:20">
      <c r="B44" s="99" t="s">
        <v>25</v>
      </c>
      <c r="C44" s="453" t="s">
        <v>3</v>
      </c>
      <c r="D44" s="453"/>
      <c r="E44" s="453"/>
      <c r="F44" s="453"/>
      <c r="G44" s="453"/>
      <c r="H44" s="453"/>
      <c r="I44" s="453"/>
      <c r="J44" s="453"/>
      <c r="K44" s="453"/>
      <c r="L44" s="36">
        <v>0</v>
      </c>
    </row>
    <row r="45" spans="2:20">
      <c r="B45" s="449" t="s">
        <v>184</v>
      </c>
      <c r="C45" s="348"/>
      <c r="D45" s="348"/>
      <c r="E45" s="348"/>
      <c r="F45" s="348"/>
      <c r="G45" s="348"/>
      <c r="H45" s="348"/>
      <c r="I45" s="348"/>
      <c r="J45" s="450"/>
      <c r="K45" s="52"/>
      <c r="L45" s="29" t="e">
        <f>SUM(L37:L44)</f>
        <v>#REF!</v>
      </c>
    </row>
    <row r="46" spans="2:20">
      <c r="B46" s="113"/>
      <c r="C46" s="114"/>
      <c r="D46" s="114"/>
      <c r="E46" s="114"/>
      <c r="F46" s="114"/>
      <c r="G46" s="114"/>
      <c r="H46" s="114"/>
      <c r="I46" s="114"/>
      <c r="J46" s="115"/>
      <c r="K46" s="52"/>
      <c r="L46" s="29"/>
    </row>
    <row r="47" spans="2:20">
      <c r="B47" s="393" t="s">
        <v>185</v>
      </c>
      <c r="C47" s="393"/>
      <c r="D47" s="393"/>
      <c r="E47" s="393"/>
      <c r="F47" s="393"/>
      <c r="G47" s="393"/>
      <c r="H47" s="393"/>
      <c r="I47" s="393"/>
      <c r="J47" s="393"/>
      <c r="K47" s="393"/>
      <c r="L47" s="24" t="str">
        <f>L5</f>
        <v>SERVENTE</v>
      </c>
    </row>
    <row r="48" spans="2:20">
      <c r="B48" s="110" t="s">
        <v>186</v>
      </c>
      <c r="C48" s="367" t="s">
        <v>189</v>
      </c>
      <c r="D48" s="368"/>
      <c r="E48" s="368"/>
      <c r="F48" s="368"/>
      <c r="G48" s="368"/>
      <c r="H48" s="368"/>
      <c r="I48" s="368"/>
      <c r="J48" s="369"/>
      <c r="K48" s="100"/>
      <c r="L48" s="29">
        <f>L23</f>
        <v>171.88503199999997</v>
      </c>
    </row>
    <row r="49" spans="2:12">
      <c r="B49" s="110" t="s">
        <v>187</v>
      </c>
      <c r="C49" s="367" t="s">
        <v>190</v>
      </c>
      <c r="D49" s="368"/>
      <c r="E49" s="368"/>
      <c r="F49" s="368"/>
      <c r="G49" s="368"/>
      <c r="H49" s="368"/>
      <c r="I49" s="368"/>
      <c r="J49" s="369"/>
      <c r="K49" s="100"/>
      <c r="L49" s="29">
        <f>L34</f>
        <v>598.36</v>
      </c>
    </row>
    <row r="50" spans="2:12">
      <c r="B50" s="110" t="s">
        <v>188</v>
      </c>
      <c r="C50" s="367" t="s">
        <v>192</v>
      </c>
      <c r="D50" s="368"/>
      <c r="E50" s="368"/>
      <c r="F50" s="368"/>
      <c r="G50" s="368"/>
      <c r="H50" s="368"/>
      <c r="I50" s="368"/>
      <c r="J50" s="369"/>
      <c r="K50" s="100"/>
      <c r="L50" s="29" t="e">
        <f>L45</f>
        <v>#REF!</v>
      </c>
    </row>
    <row r="51" spans="2:12">
      <c r="B51" s="355" t="s">
        <v>191</v>
      </c>
      <c r="C51" s="356"/>
      <c r="D51" s="356"/>
      <c r="E51" s="356"/>
      <c r="F51" s="356"/>
      <c r="G51" s="356"/>
      <c r="H51" s="356"/>
      <c r="I51" s="356"/>
      <c r="J51" s="357"/>
      <c r="K51" s="121"/>
      <c r="L51" s="122" t="e">
        <f>SUM(L48:L50)</f>
        <v>#REF!</v>
      </c>
    </row>
    <row r="52" spans="2:12">
      <c r="B52" s="350"/>
      <c r="C52" s="351"/>
      <c r="D52" s="351"/>
      <c r="E52" s="351"/>
      <c r="F52" s="351"/>
      <c r="G52" s="351"/>
      <c r="H52" s="351"/>
      <c r="I52" s="351"/>
      <c r="J52" s="351"/>
      <c r="K52" s="351"/>
      <c r="L52" s="351"/>
    </row>
    <row r="53" spans="2:12">
      <c r="B53" s="409" t="s">
        <v>183</v>
      </c>
      <c r="C53" s="409"/>
      <c r="D53" s="409"/>
      <c r="E53" s="409"/>
      <c r="F53" s="409"/>
      <c r="G53" s="409"/>
      <c r="H53" s="409"/>
      <c r="I53" s="409"/>
      <c r="J53" s="409"/>
      <c r="K53" s="117" t="s">
        <v>18</v>
      </c>
      <c r="L53" s="118" t="s">
        <v>178</v>
      </c>
    </row>
    <row r="54" spans="2:12">
      <c r="B54" s="87" t="s">
        <v>13</v>
      </c>
      <c r="C54" s="349" t="s">
        <v>35</v>
      </c>
      <c r="D54" s="349"/>
      <c r="E54" s="349"/>
      <c r="F54" s="349"/>
      <c r="G54" s="349"/>
      <c r="H54" s="349"/>
      <c r="I54" s="56">
        <v>30</v>
      </c>
      <c r="J54" s="57">
        <v>0.05</v>
      </c>
      <c r="K54" s="52">
        <f>I54/30/12*J54</f>
        <v>4.1666666666666666E-3</v>
      </c>
      <c r="L54" s="29">
        <f t="shared" ref="L54:L59" si="0">ROUND(K54*$L$17,2)</f>
        <v>6.45</v>
      </c>
    </row>
    <row r="55" spans="2:12">
      <c r="B55" s="87" t="s">
        <v>15</v>
      </c>
      <c r="C55" s="349" t="s">
        <v>36</v>
      </c>
      <c r="D55" s="349"/>
      <c r="E55" s="349"/>
      <c r="F55" s="349"/>
      <c r="G55" s="349"/>
      <c r="H55" s="349"/>
      <c r="I55" s="349"/>
      <c r="J55" s="349"/>
      <c r="K55" s="52">
        <f>K31*K54</f>
        <v>3.703703703703703E-4</v>
      </c>
      <c r="L55" s="29">
        <f t="shared" si="0"/>
        <v>0.56999999999999995</v>
      </c>
    </row>
    <row r="56" spans="2:12">
      <c r="B56" s="110" t="s">
        <v>19</v>
      </c>
      <c r="C56" s="349" t="s">
        <v>194</v>
      </c>
      <c r="D56" s="349"/>
      <c r="E56" s="349"/>
      <c r="F56" s="349"/>
      <c r="G56" s="349"/>
      <c r="H56" s="349"/>
      <c r="I56" s="349"/>
      <c r="J56" s="349"/>
      <c r="K56" s="52">
        <f>0.5*K55</f>
        <v>1.8518518518518515E-4</v>
      </c>
      <c r="L56" s="29">
        <f t="shared" si="0"/>
        <v>0.28999999999999998</v>
      </c>
    </row>
    <row r="57" spans="2:12">
      <c r="B57" s="110" t="s">
        <v>21</v>
      </c>
      <c r="C57" s="349" t="s">
        <v>196</v>
      </c>
      <c r="D57" s="349"/>
      <c r="E57" s="349"/>
      <c r="F57" s="349"/>
      <c r="G57" s="349"/>
      <c r="H57" s="349"/>
      <c r="I57" s="349"/>
      <c r="J57" s="349"/>
      <c r="K57" s="52">
        <v>4.0000000000000002E-4</v>
      </c>
      <c r="L57" s="29">
        <f t="shared" si="0"/>
        <v>0.62</v>
      </c>
    </row>
    <row r="58" spans="2:12">
      <c r="B58" s="110" t="s">
        <v>23</v>
      </c>
      <c r="C58" s="349" t="s">
        <v>195</v>
      </c>
      <c r="D58" s="349"/>
      <c r="E58" s="349"/>
      <c r="F58" s="349"/>
      <c r="G58" s="349"/>
      <c r="H58" s="349"/>
      <c r="I58" s="349"/>
      <c r="J58" s="349"/>
      <c r="K58" s="52">
        <f>K34*K57</f>
        <v>1.5075555555555558E-4</v>
      </c>
      <c r="L58" s="29">
        <f t="shared" si="0"/>
        <v>0.23</v>
      </c>
    </row>
    <row r="59" spans="2:12">
      <c r="B59" s="110" t="s">
        <v>6</v>
      </c>
      <c r="C59" s="349" t="s">
        <v>197</v>
      </c>
      <c r="D59" s="349"/>
      <c r="E59" s="349"/>
      <c r="F59" s="349"/>
      <c r="G59" s="349"/>
      <c r="H59" s="349"/>
      <c r="I59" s="349"/>
      <c r="J59" s="349"/>
      <c r="K59" s="116">
        <f>0.5*0.08*K57</f>
        <v>1.6000000000000003E-5</v>
      </c>
      <c r="L59" s="29">
        <f t="shared" si="0"/>
        <v>0.02</v>
      </c>
    </row>
    <row r="60" spans="2:12" ht="15" customHeight="1">
      <c r="B60" s="355" t="s">
        <v>193</v>
      </c>
      <c r="C60" s="356"/>
      <c r="D60" s="356"/>
      <c r="E60" s="356"/>
      <c r="F60" s="356"/>
      <c r="G60" s="356"/>
      <c r="H60" s="356"/>
      <c r="I60" s="356"/>
      <c r="J60" s="357"/>
      <c r="K60" s="121"/>
      <c r="L60" s="122">
        <f>SUM(L54:L59)</f>
        <v>8.18</v>
      </c>
    </row>
    <row r="61" spans="2:12">
      <c r="B61" s="37"/>
      <c r="C61" s="33"/>
      <c r="D61" s="33"/>
      <c r="E61" s="37"/>
      <c r="F61" s="37"/>
      <c r="G61" s="37"/>
      <c r="H61" s="37"/>
      <c r="I61" s="38"/>
      <c r="J61" s="39"/>
      <c r="K61" s="37"/>
    </row>
    <row r="62" spans="2:12">
      <c r="B62" s="409" t="s">
        <v>198</v>
      </c>
      <c r="C62" s="409"/>
      <c r="D62" s="409"/>
      <c r="E62" s="409"/>
      <c r="F62" s="409"/>
      <c r="G62" s="409"/>
      <c r="H62" s="409"/>
      <c r="I62" s="409"/>
      <c r="J62" s="409"/>
      <c r="K62" s="117"/>
      <c r="L62" s="118"/>
    </row>
    <row r="63" spans="2:12">
      <c r="B63" s="407" t="s">
        <v>203</v>
      </c>
      <c r="C63" s="408"/>
      <c r="D63" s="408"/>
      <c r="E63" s="408"/>
      <c r="F63" s="408"/>
      <c r="G63" s="408"/>
      <c r="H63" s="408"/>
      <c r="I63" s="408"/>
      <c r="J63" s="408"/>
      <c r="K63" s="112" t="s">
        <v>18</v>
      </c>
      <c r="L63" s="29" t="s">
        <v>178</v>
      </c>
    </row>
    <row r="64" spans="2:12">
      <c r="B64" s="87" t="s">
        <v>13</v>
      </c>
      <c r="C64" s="384" t="s">
        <v>199</v>
      </c>
      <c r="D64" s="384"/>
      <c r="E64" s="384"/>
      <c r="F64" s="384"/>
      <c r="G64" s="384"/>
      <c r="H64" s="384"/>
      <c r="I64" s="384"/>
      <c r="J64" s="384"/>
      <c r="K64" s="59">
        <f>1/12</f>
        <v>8.3333333333333329E-2</v>
      </c>
      <c r="L64" s="29">
        <f>K64*$L$17</f>
        <v>128.92666666666665</v>
      </c>
    </row>
    <row r="65" spans="2:13">
      <c r="B65" s="87" t="s">
        <v>15</v>
      </c>
      <c r="C65" s="349" t="s">
        <v>200</v>
      </c>
      <c r="D65" s="349"/>
      <c r="E65" s="349"/>
      <c r="F65" s="349"/>
      <c r="G65" s="451" t="s">
        <v>38</v>
      </c>
      <c r="H65" s="451"/>
      <c r="I65" s="451"/>
      <c r="J65" s="60">
        <v>3</v>
      </c>
      <c r="K65" s="59">
        <f>J65/30/12</f>
        <v>8.3333333333333332E-3</v>
      </c>
      <c r="L65" s="29">
        <f>K65*$L$17</f>
        <v>12.892666666666665</v>
      </c>
      <c r="M65" s="18" t="s">
        <v>180</v>
      </c>
    </row>
    <row r="66" spans="2:13">
      <c r="B66" s="87" t="s">
        <v>19</v>
      </c>
      <c r="C66" s="349" t="s">
        <v>39</v>
      </c>
      <c r="D66" s="349"/>
      <c r="E66" s="349"/>
      <c r="F66" s="349"/>
      <c r="G66" s="451" t="s">
        <v>37</v>
      </c>
      <c r="H66" s="451"/>
      <c r="I66" s="54">
        <v>1.4999999999999999E-2</v>
      </c>
      <c r="J66" s="61">
        <v>5</v>
      </c>
      <c r="K66" s="59">
        <f>J66/30/12*I66</f>
        <v>2.0833333333333332E-4</v>
      </c>
      <c r="L66" s="29">
        <f t="shared" ref="L66:L69" si="1">K66*$L$17</f>
        <v>0.32231666666666664</v>
      </c>
    </row>
    <row r="67" spans="2:13">
      <c r="B67" s="87" t="s">
        <v>21</v>
      </c>
      <c r="C67" s="451" t="s">
        <v>201</v>
      </c>
      <c r="D67" s="451"/>
      <c r="E67" s="451"/>
      <c r="F67" s="60"/>
      <c r="G67" s="451" t="s">
        <v>37</v>
      </c>
      <c r="H67" s="451"/>
      <c r="I67" s="54">
        <v>7.7999999999999996E-3</v>
      </c>
      <c r="J67" s="62">
        <v>15</v>
      </c>
      <c r="K67" s="59">
        <f>J67/30/12*I67</f>
        <v>3.2499999999999999E-4</v>
      </c>
      <c r="L67" s="29">
        <f t="shared" si="1"/>
        <v>0.50281399999999998</v>
      </c>
    </row>
    <row r="68" spans="2:13">
      <c r="B68" s="87" t="s">
        <v>23</v>
      </c>
      <c r="C68" s="451" t="s">
        <v>202</v>
      </c>
      <c r="D68" s="451"/>
      <c r="E68" s="451"/>
      <c r="F68" s="60"/>
      <c r="G68" s="452"/>
      <c r="H68" s="451"/>
      <c r="I68" s="54"/>
      <c r="J68" s="62"/>
      <c r="K68" s="59">
        <v>6.1000000000000004E-3</v>
      </c>
      <c r="L68" s="29">
        <f t="shared" si="1"/>
        <v>9.4374319999999994</v>
      </c>
      <c r="M68" s="82" t="s">
        <v>180</v>
      </c>
    </row>
    <row r="69" spans="2:13">
      <c r="B69" s="87" t="s">
        <v>6</v>
      </c>
      <c r="C69" s="453" t="s">
        <v>3</v>
      </c>
      <c r="D69" s="453"/>
      <c r="E69" s="453" t="s">
        <v>40</v>
      </c>
      <c r="F69" s="453"/>
      <c r="G69" s="453"/>
      <c r="H69" s="453"/>
      <c r="I69" s="453"/>
      <c r="J69" s="453"/>
      <c r="K69" s="63"/>
      <c r="L69" s="29">
        <f t="shared" si="1"/>
        <v>0</v>
      </c>
      <c r="M69" s="82"/>
    </row>
    <row r="70" spans="2:13">
      <c r="B70" s="449" t="s">
        <v>204</v>
      </c>
      <c r="C70" s="348"/>
      <c r="D70" s="348"/>
      <c r="E70" s="348"/>
      <c r="F70" s="348"/>
      <c r="G70" s="348"/>
      <c r="H70" s="348"/>
      <c r="I70" s="348"/>
      <c r="J70" s="450"/>
      <c r="K70" s="64"/>
      <c r="L70" s="29">
        <f>SUM(L64:L69)</f>
        <v>152.08189599999997</v>
      </c>
    </row>
    <row r="71" spans="2:13">
      <c r="B71" s="113"/>
      <c r="C71" s="114"/>
      <c r="D71" s="114"/>
      <c r="E71" s="114"/>
      <c r="F71" s="114"/>
      <c r="G71" s="114"/>
      <c r="H71" s="114"/>
      <c r="I71" s="114"/>
      <c r="J71" s="115"/>
      <c r="K71" s="52"/>
      <c r="L71" s="29"/>
    </row>
    <row r="72" spans="2:13">
      <c r="B72" s="407" t="s">
        <v>205</v>
      </c>
      <c r="C72" s="408"/>
      <c r="D72" s="408"/>
      <c r="E72" s="408"/>
      <c r="F72" s="408"/>
      <c r="G72" s="408"/>
      <c r="H72" s="408"/>
      <c r="I72" s="408"/>
      <c r="J72" s="408"/>
      <c r="K72" s="112" t="s">
        <v>18</v>
      </c>
      <c r="L72" s="29" t="s">
        <v>178</v>
      </c>
    </row>
    <row r="73" spans="2:13">
      <c r="B73" s="110" t="s">
        <v>13</v>
      </c>
      <c r="C73" s="384" t="s">
        <v>206</v>
      </c>
      <c r="D73" s="384"/>
      <c r="E73" s="384"/>
      <c r="F73" s="384"/>
      <c r="G73" s="384"/>
      <c r="H73" s="384"/>
      <c r="I73" s="384"/>
      <c r="J73" s="384"/>
      <c r="K73" s="59">
        <v>0</v>
      </c>
      <c r="L73" s="29">
        <f>K73*$L$17</f>
        <v>0</v>
      </c>
    </row>
    <row r="74" spans="2:13">
      <c r="B74" s="449" t="s">
        <v>207</v>
      </c>
      <c r="C74" s="348"/>
      <c r="D74" s="348"/>
      <c r="E74" s="348"/>
      <c r="F74" s="348"/>
      <c r="G74" s="348"/>
      <c r="H74" s="348"/>
      <c r="I74" s="348"/>
      <c r="J74" s="450"/>
      <c r="K74" s="64"/>
      <c r="L74" s="29">
        <f>SUM(L73:L73)</f>
        <v>0</v>
      </c>
    </row>
    <row r="75" spans="2:13">
      <c r="B75" s="113"/>
      <c r="C75" s="114"/>
      <c r="D75" s="114"/>
      <c r="E75" s="114"/>
      <c r="F75" s="114"/>
      <c r="G75" s="114"/>
      <c r="H75" s="114"/>
      <c r="I75" s="114"/>
      <c r="J75" s="114"/>
      <c r="K75" s="119"/>
      <c r="L75" s="29"/>
    </row>
    <row r="76" spans="2:13">
      <c r="B76" s="393" t="s">
        <v>208</v>
      </c>
      <c r="C76" s="393"/>
      <c r="D76" s="393"/>
      <c r="E76" s="393"/>
      <c r="F76" s="393"/>
      <c r="G76" s="393"/>
      <c r="H76" s="393"/>
      <c r="I76" s="393"/>
      <c r="J76" s="393"/>
      <c r="K76" s="393"/>
      <c r="L76" s="24">
        <f>L34</f>
        <v>598.36</v>
      </c>
    </row>
    <row r="77" spans="2:13">
      <c r="B77" s="110" t="s">
        <v>209</v>
      </c>
      <c r="C77" s="367" t="s">
        <v>200</v>
      </c>
      <c r="D77" s="368"/>
      <c r="E77" s="368"/>
      <c r="F77" s="368"/>
      <c r="G77" s="368"/>
      <c r="H77" s="368"/>
      <c r="I77" s="368"/>
      <c r="J77" s="369"/>
      <c r="K77" s="100"/>
      <c r="L77" s="29">
        <f>L70</f>
        <v>152.08189599999997</v>
      </c>
    </row>
    <row r="78" spans="2:13">
      <c r="B78" s="110" t="s">
        <v>210</v>
      </c>
      <c r="C78" s="367" t="s">
        <v>211</v>
      </c>
      <c r="D78" s="368"/>
      <c r="E78" s="368"/>
      <c r="F78" s="368"/>
      <c r="G78" s="368"/>
      <c r="H78" s="368"/>
      <c r="I78" s="368"/>
      <c r="J78" s="369"/>
      <c r="K78" s="100"/>
      <c r="L78" s="29">
        <f>L74</f>
        <v>0</v>
      </c>
    </row>
    <row r="79" spans="2:13">
      <c r="B79" s="355" t="s">
        <v>212</v>
      </c>
      <c r="C79" s="356"/>
      <c r="D79" s="356"/>
      <c r="E79" s="356"/>
      <c r="F79" s="356"/>
      <c r="G79" s="356"/>
      <c r="H79" s="356"/>
      <c r="I79" s="356"/>
      <c r="J79" s="357"/>
      <c r="K79" s="121"/>
      <c r="L79" s="122">
        <f>SUM(L77:L78)</f>
        <v>152.08189599999997</v>
      </c>
    </row>
    <row r="80" spans="2:13">
      <c r="B80" s="350"/>
      <c r="C80" s="351"/>
      <c r="D80" s="351"/>
      <c r="E80" s="351"/>
      <c r="F80" s="351"/>
      <c r="G80" s="351"/>
      <c r="H80" s="351"/>
      <c r="I80" s="351"/>
      <c r="J80" s="351"/>
      <c r="K80" s="351"/>
      <c r="L80" s="351"/>
    </row>
    <row r="81" spans="2:13">
      <c r="B81" s="409" t="s">
        <v>213</v>
      </c>
      <c r="C81" s="409"/>
      <c r="D81" s="409"/>
      <c r="E81" s="409"/>
      <c r="F81" s="409"/>
      <c r="G81" s="409"/>
      <c r="H81" s="409"/>
      <c r="I81" s="409"/>
      <c r="J81" s="409"/>
      <c r="K81" s="117"/>
      <c r="L81" s="118"/>
      <c r="M81" s="40"/>
    </row>
    <row r="82" spans="2:13">
      <c r="B82" s="87" t="s">
        <v>13</v>
      </c>
      <c r="C82" s="427" t="s">
        <v>66</v>
      </c>
      <c r="D82" s="427"/>
      <c r="E82" s="427"/>
      <c r="F82" s="427"/>
      <c r="G82" s="427"/>
      <c r="H82" s="427"/>
      <c r="I82" s="427"/>
      <c r="J82" s="427"/>
      <c r="K82" s="427"/>
      <c r="L82" s="29">
        <f>'Benef. e Insumos'!H54</f>
        <v>89.157499999999999</v>
      </c>
    </row>
    <row r="83" spans="2:13">
      <c r="B83" s="87" t="s">
        <v>15</v>
      </c>
      <c r="C83" s="374" t="s">
        <v>215</v>
      </c>
      <c r="D83" s="426"/>
      <c r="E83" s="441" t="s">
        <v>67</v>
      </c>
      <c r="F83" s="442"/>
      <c r="G83" s="442"/>
      <c r="H83" s="442"/>
      <c r="I83" s="443"/>
      <c r="J83" s="462">
        <v>0.12</v>
      </c>
      <c r="K83" s="463"/>
      <c r="L83" s="36" t="e">
        <f>(L17+L51+L60+L79+L82)/(1-J83)*J83</f>
        <v>#REF!</v>
      </c>
      <c r="M83" s="41"/>
    </row>
    <row r="84" spans="2:13">
      <c r="B84" s="111" t="s">
        <v>222</v>
      </c>
      <c r="C84" s="374" t="s">
        <v>223</v>
      </c>
      <c r="D84" s="426"/>
      <c r="E84" s="441"/>
      <c r="F84" s="442"/>
      <c r="G84" s="442"/>
      <c r="H84" s="442"/>
      <c r="I84" s="443"/>
      <c r="J84" s="444">
        <f>H95+H96</f>
        <v>9.2499999999999999E-2</v>
      </c>
      <c r="K84" s="445"/>
      <c r="L84" s="36" t="e">
        <f>-J84*L83</f>
        <v>#REF!</v>
      </c>
      <c r="M84" s="41"/>
    </row>
    <row r="85" spans="2:13">
      <c r="B85" s="110" t="s">
        <v>19</v>
      </c>
      <c r="C85" s="103" t="s">
        <v>214</v>
      </c>
      <c r="D85" s="104"/>
      <c r="E85" s="105"/>
      <c r="F85" s="106"/>
      <c r="G85" s="106"/>
      <c r="H85" s="106"/>
      <c r="I85" s="107"/>
      <c r="J85" s="108"/>
      <c r="K85" s="109"/>
      <c r="L85" s="36"/>
      <c r="M85" s="41"/>
    </row>
    <row r="86" spans="2:13">
      <c r="B86" s="87" t="s">
        <v>216</v>
      </c>
      <c r="C86" s="453" t="s">
        <v>3</v>
      </c>
      <c r="D86" s="453"/>
      <c r="E86" s="453"/>
      <c r="F86" s="453"/>
      <c r="G86" s="453"/>
      <c r="H86" s="453"/>
      <c r="I86" s="453"/>
      <c r="J86" s="453"/>
      <c r="K86" s="453"/>
      <c r="L86" s="36">
        <v>0</v>
      </c>
    </row>
    <row r="87" spans="2:13">
      <c r="B87" s="355" t="s">
        <v>219</v>
      </c>
      <c r="C87" s="356"/>
      <c r="D87" s="356"/>
      <c r="E87" s="356"/>
      <c r="F87" s="356"/>
      <c r="G87" s="356"/>
      <c r="H87" s="356"/>
      <c r="I87" s="356"/>
      <c r="J87" s="357"/>
      <c r="K87" s="121"/>
      <c r="L87" s="122" t="e">
        <f>SUM(L82:L86)</f>
        <v>#REF!</v>
      </c>
    </row>
    <row r="88" spans="2:13">
      <c r="B88" s="42"/>
      <c r="C88" s="42"/>
      <c r="D88" s="42"/>
      <c r="E88" s="42"/>
      <c r="F88" s="42"/>
      <c r="G88" s="42"/>
      <c r="H88" s="42"/>
      <c r="I88" s="89"/>
      <c r="J88" s="42"/>
      <c r="K88" s="42"/>
    </row>
    <row r="89" spans="2:13">
      <c r="B89" s="33"/>
      <c r="C89" s="33"/>
      <c r="D89" s="33"/>
      <c r="E89" s="33"/>
      <c r="F89" s="33"/>
      <c r="G89" s="33"/>
      <c r="H89" s="66"/>
      <c r="I89" s="66"/>
      <c r="J89" s="66"/>
      <c r="K89" s="66"/>
      <c r="L89" s="67"/>
    </row>
    <row r="90" spans="2:13">
      <c r="B90" s="409" t="s">
        <v>217</v>
      </c>
      <c r="C90" s="409"/>
      <c r="D90" s="409"/>
      <c r="E90" s="409"/>
      <c r="F90" s="409"/>
      <c r="G90" s="409"/>
      <c r="H90" s="409"/>
      <c r="I90" s="409"/>
      <c r="J90" s="409"/>
      <c r="K90" s="117"/>
      <c r="L90" s="118" t="str">
        <f>L5</f>
        <v>SERVENTE</v>
      </c>
    </row>
    <row r="91" spans="2:13">
      <c r="B91" s="87" t="s">
        <v>13</v>
      </c>
      <c r="C91" s="384" t="s">
        <v>218</v>
      </c>
      <c r="D91" s="384"/>
      <c r="E91" s="384"/>
      <c r="F91" s="384"/>
      <c r="G91" s="384"/>
      <c r="H91" s="384"/>
      <c r="I91" s="384"/>
      <c r="J91" s="384"/>
      <c r="K91" s="83">
        <v>0.05</v>
      </c>
      <c r="L91" s="45" t="e">
        <f>K91*L110</f>
        <v>#REF!</v>
      </c>
      <c r="M91" s="68"/>
    </row>
    <row r="92" spans="2:13">
      <c r="B92" s="87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3">
        <v>6.8099999999999994E-2</v>
      </c>
      <c r="L92" s="45" t="e">
        <f>K92*L110</f>
        <v>#REF!</v>
      </c>
      <c r="M92" s="68"/>
    </row>
    <row r="93" spans="2:13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 t="e">
        <f>L110+L91+L92</f>
        <v>#REF!</v>
      </c>
      <c r="K93" s="366"/>
      <c r="L93" s="65"/>
    </row>
    <row r="94" spans="2:13">
      <c r="B94" s="361"/>
      <c r="C94" s="447" t="s">
        <v>43</v>
      </c>
      <c r="D94" s="410"/>
      <c r="E94" s="410"/>
      <c r="F94" s="448"/>
      <c r="G94" s="88"/>
      <c r="H94" s="88" t="s">
        <v>44</v>
      </c>
      <c r="I94" s="88"/>
      <c r="J94" s="370"/>
      <c r="K94" s="371"/>
      <c r="L94" s="65"/>
    </row>
    <row r="95" spans="2:13">
      <c r="B95" s="361"/>
      <c r="C95" s="446" t="s">
        <v>45</v>
      </c>
      <c r="D95" s="446"/>
      <c r="E95" s="446"/>
      <c r="F95" s="446"/>
      <c r="G95" s="86" t="s">
        <v>46</v>
      </c>
      <c r="H95" s="53">
        <v>1.6500000000000001E-2</v>
      </c>
      <c r="I95" s="372">
        <f>SUM(H95:H100)</f>
        <v>0.13250000000000001</v>
      </c>
      <c r="J95" s="359" t="e">
        <f>ROUND($L$112*H95,2)</f>
        <v>#REF!</v>
      </c>
      <c r="K95" s="360"/>
      <c r="L95" s="423" t="e">
        <f>SUM(J95:K100)</f>
        <v>#REF!</v>
      </c>
    </row>
    <row r="96" spans="2:13">
      <c r="B96" s="361"/>
      <c r="C96" s="446"/>
      <c r="D96" s="446"/>
      <c r="E96" s="446"/>
      <c r="F96" s="446"/>
      <c r="G96" s="86" t="s">
        <v>47</v>
      </c>
      <c r="H96" s="53">
        <v>7.5999999999999998E-2</v>
      </c>
      <c r="I96" s="372"/>
      <c r="J96" s="359" t="e">
        <f t="shared" ref="J96:J100" si="2">ROUND($L$112*H96,2)</f>
        <v>#REF!</v>
      </c>
      <c r="K96" s="360"/>
      <c r="L96" s="424"/>
    </row>
    <row r="97" spans="2:12">
      <c r="B97" s="361"/>
      <c r="C97" s="446"/>
      <c r="D97" s="446"/>
      <c r="E97" s="446"/>
      <c r="F97" s="446"/>
      <c r="G97" s="86" t="s">
        <v>48</v>
      </c>
      <c r="H97" s="53">
        <v>0</v>
      </c>
      <c r="I97" s="372"/>
      <c r="J97" s="359" t="e">
        <f t="shared" si="2"/>
        <v>#REF!</v>
      </c>
      <c r="K97" s="360"/>
      <c r="L97" s="424"/>
    </row>
    <row r="98" spans="2:12">
      <c r="B98" s="361"/>
      <c r="C98" s="446" t="s">
        <v>49</v>
      </c>
      <c r="D98" s="446"/>
      <c r="E98" s="446"/>
      <c r="F98" s="446"/>
      <c r="G98" s="85" t="s">
        <v>50</v>
      </c>
      <c r="H98" s="53">
        <v>0.04</v>
      </c>
      <c r="I98" s="372"/>
      <c r="J98" s="359" t="e">
        <f t="shared" si="2"/>
        <v>#REF!</v>
      </c>
      <c r="K98" s="360"/>
      <c r="L98" s="424"/>
    </row>
    <row r="99" spans="2:12">
      <c r="B99" s="361"/>
      <c r="C99" s="446"/>
      <c r="D99" s="446"/>
      <c r="E99" s="446"/>
      <c r="F99" s="446"/>
      <c r="G99" s="85" t="s">
        <v>48</v>
      </c>
      <c r="H99" s="53">
        <v>0</v>
      </c>
      <c r="I99" s="372"/>
      <c r="J99" s="359" t="e">
        <f t="shared" si="2"/>
        <v>#REF!</v>
      </c>
      <c r="K99" s="360"/>
      <c r="L99" s="424"/>
    </row>
    <row r="100" spans="2:12">
      <c r="B100" s="361"/>
      <c r="C100" s="446" t="s">
        <v>51</v>
      </c>
      <c r="D100" s="446"/>
      <c r="E100" s="446"/>
      <c r="F100" s="446"/>
      <c r="G100" s="85"/>
      <c r="H100" s="53">
        <v>0</v>
      </c>
      <c r="I100" s="372"/>
      <c r="J100" s="359" t="e">
        <f t="shared" si="2"/>
        <v>#REF!</v>
      </c>
      <c r="K100" s="360"/>
      <c r="L100" s="425"/>
    </row>
    <row r="101" spans="2:12">
      <c r="B101" s="361" t="s">
        <v>52</v>
      </c>
      <c r="C101" s="361"/>
      <c r="D101" s="361"/>
      <c r="E101" s="361"/>
      <c r="F101" s="361"/>
      <c r="G101" s="361"/>
      <c r="H101" s="361"/>
      <c r="I101" s="361"/>
      <c r="J101" s="361"/>
      <c r="K101" s="361"/>
      <c r="L101" s="78" t="e">
        <f>L95+L92+L91</f>
        <v>#REF!</v>
      </c>
    </row>
    <row r="102" spans="2:12">
      <c r="B102" s="69"/>
      <c r="C102" s="69"/>
      <c r="D102" s="69"/>
      <c r="E102" s="69"/>
      <c r="F102" s="69"/>
      <c r="G102" s="69"/>
      <c r="H102" s="69"/>
      <c r="I102" s="70"/>
      <c r="J102" s="71"/>
      <c r="K102" s="69"/>
    </row>
    <row r="103" spans="2:12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2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4" t="str">
        <f>L5</f>
        <v>SERVENTE</v>
      </c>
    </row>
    <row r="105" spans="2:12">
      <c r="B105" s="87" t="s">
        <v>13</v>
      </c>
      <c r="C105" s="384" t="str">
        <f>B6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2">
        <f>L17</f>
        <v>1547.12</v>
      </c>
    </row>
    <row r="106" spans="2:12">
      <c r="B106" s="87" t="s">
        <v>15</v>
      </c>
      <c r="C106" s="384" t="str">
        <f>B19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2" t="e">
        <f>L51</f>
        <v>#REF!</v>
      </c>
    </row>
    <row r="107" spans="2:12">
      <c r="B107" s="87" t="s">
        <v>19</v>
      </c>
      <c r="C107" s="384" t="str">
        <f>B53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2">
        <f>L60</f>
        <v>8.18</v>
      </c>
    </row>
    <row r="108" spans="2:12">
      <c r="B108" s="87" t="s">
        <v>21</v>
      </c>
      <c r="C108" s="384" t="str">
        <f>B62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2">
        <f>L79</f>
        <v>152.08189599999997</v>
      </c>
    </row>
    <row r="109" spans="2:12">
      <c r="B109" s="110" t="s">
        <v>23</v>
      </c>
      <c r="C109" s="384" t="str">
        <f>B81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2" t="e">
        <f>L87</f>
        <v>#REF!</v>
      </c>
    </row>
    <row r="110" spans="2:12">
      <c r="B110" s="395" t="s">
        <v>221</v>
      </c>
      <c r="C110" s="395"/>
      <c r="D110" s="395"/>
      <c r="E110" s="395"/>
      <c r="F110" s="395"/>
      <c r="G110" s="395"/>
      <c r="H110" s="395"/>
      <c r="I110" s="395"/>
      <c r="J110" s="395"/>
      <c r="K110" s="395"/>
      <c r="L110" s="79" t="e">
        <f>SUM(L105:L109)</f>
        <v>#REF!</v>
      </c>
    </row>
    <row r="111" spans="2:12">
      <c r="B111" s="87" t="s">
        <v>23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3" t="e">
        <f>L112-L110</f>
        <v>#REF!</v>
      </c>
    </row>
    <row r="112" spans="2:12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80" t="e">
        <f>ROUND(J93/(1-$I$95),2)</f>
        <v>#REF!</v>
      </c>
    </row>
    <row r="113" spans="6:12">
      <c r="K113" s="68"/>
    </row>
    <row r="115" spans="6:12">
      <c r="F115" s="390" t="s">
        <v>57</v>
      </c>
      <c r="G115" s="391"/>
      <c r="H115" s="391"/>
      <c r="I115" s="392"/>
      <c r="J115" s="18"/>
      <c r="L115" s="18"/>
    </row>
    <row r="116" spans="6:12">
      <c r="F116" s="390" t="s">
        <v>58</v>
      </c>
      <c r="G116" s="391"/>
      <c r="H116" s="392"/>
      <c r="I116" s="74" t="s">
        <v>18</v>
      </c>
      <c r="J116" s="18"/>
      <c r="L116" s="18"/>
    </row>
    <row r="117" spans="6:12">
      <c r="F117" s="75" t="s">
        <v>59</v>
      </c>
      <c r="G117" s="75"/>
      <c r="H117" s="76"/>
      <c r="I117" s="76">
        <f>K91</f>
        <v>0.05</v>
      </c>
      <c r="J117" s="18"/>
      <c r="L117" s="18"/>
    </row>
    <row r="118" spans="6:12">
      <c r="F118" s="378" t="s">
        <v>41</v>
      </c>
      <c r="G118" s="379"/>
      <c r="H118" s="380"/>
      <c r="I118" s="76">
        <f>K92</f>
        <v>6.8099999999999994E-2</v>
      </c>
      <c r="J118" s="18"/>
      <c r="L118" s="18"/>
    </row>
    <row r="119" spans="6:12">
      <c r="F119" s="75" t="s">
        <v>60</v>
      </c>
      <c r="G119" s="75"/>
      <c r="H119" s="76"/>
      <c r="I119" s="76">
        <f>I95</f>
        <v>0.13250000000000001</v>
      </c>
      <c r="J119" s="18"/>
      <c r="L119" s="18"/>
    </row>
    <row r="120" spans="6:12">
      <c r="F120" s="381" t="s">
        <v>61</v>
      </c>
      <c r="G120" s="382"/>
      <c r="H120" s="383"/>
      <c r="I120" s="76">
        <f>(1+I117)*(1+I118)/(1-I119)-1</f>
        <v>0.29280115273775253</v>
      </c>
      <c r="J120" s="18"/>
      <c r="L120" s="18"/>
    </row>
  </sheetData>
  <mergeCells count="126"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</mergeCells>
  <pageMargins left="0.511811024" right="0.511811024" top="0.78740157499999996" bottom="0.78740157499999996" header="0.31496062000000002" footer="0.31496062000000002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8" customWidth="1"/>
    <col min="2" max="2" width="4.5703125" style="18" customWidth="1"/>
    <col min="3" max="3" width="9" style="18" customWidth="1"/>
    <col min="4" max="4" width="25" style="18" customWidth="1"/>
    <col min="5" max="5" width="4.7109375" style="18" bestFit="1" customWidth="1"/>
    <col min="6" max="6" width="9" style="18" bestFit="1" customWidth="1"/>
    <col min="7" max="7" width="10.42578125" style="18" customWidth="1"/>
    <col min="8" max="8" width="10.7109375" style="18" customWidth="1"/>
    <col min="9" max="9" width="16.7109375" style="50" customWidth="1"/>
    <col min="10" max="10" width="9" style="51" bestFit="1" customWidth="1"/>
    <col min="11" max="11" width="9.140625" style="18" bestFit="1" customWidth="1"/>
    <col min="12" max="12" width="12.7109375" style="35" bestFit="1" customWidth="1"/>
    <col min="13" max="13" width="13.28515625" style="18" bestFit="1" customWidth="1"/>
    <col min="14" max="16384" width="11.85546875" style="18"/>
  </cols>
  <sheetData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9" customFormat="1">
      <c r="B3" s="456" t="e">
        <f>#REF!</f>
        <v>#REF!</v>
      </c>
      <c r="C3" s="457"/>
      <c r="D3" s="457"/>
      <c r="E3" s="457"/>
      <c r="F3" s="457"/>
      <c r="G3" s="457"/>
      <c r="H3" s="457"/>
      <c r="I3" s="457"/>
      <c r="J3" s="457"/>
      <c r="K3" s="457"/>
      <c r="L3" s="458"/>
    </row>
    <row r="4" spans="2:13" s="19" customFormat="1">
      <c r="B4" s="459"/>
      <c r="C4" s="460"/>
      <c r="D4" s="460"/>
      <c r="E4" s="460"/>
      <c r="F4" s="460"/>
      <c r="G4" s="460"/>
      <c r="H4" s="460"/>
      <c r="I4" s="460"/>
      <c r="J4" s="460"/>
      <c r="K4" s="460"/>
      <c r="L4" s="461"/>
    </row>
    <row r="5" spans="2:13">
      <c r="B5" s="20"/>
      <c r="C5" s="21"/>
      <c r="D5" s="21"/>
      <c r="E5" s="21"/>
      <c r="F5" s="21"/>
      <c r="G5" s="21"/>
      <c r="H5" s="21"/>
      <c r="I5" s="22"/>
      <c r="J5" s="21"/>
      <c r="K5" s="23"/>
      <c r="L5" s="24" t="s">
        <v>62</v>
      </c>
    </row>
    <row r="6" spans="2:13">
      <c r="B6" s="409" t="s">
        <v>12</v>
      </c>
      <c r="C6" s="409"/>
      <c r="D6" s="409"/>
      <c r="E6" s="409"/>
      <c r="F6" s="409"/>
      <c r="G6" s="409"/>
      <c r="H6" s="409"/>
      <c r="I6" s="409"/>
      <c r="J6" s="409"/>
      <c r="K6" s="409"/>
      <c r="L6" s="409"/>
    </row>
    <row r="7" spans="2:13">
      <c r="B7" s="87" t="s">
        <v>13</v>
      </c>
      <c r="C7" s="384" t="s">
        <v>14</v>
      </c>
      <c r="D7" s="384"/>
      <c r="E7" s="384"/>
      <c r="F7" s="384"/>
      <c r="G7" s="384"/>
      <c r="H7" s="384"/>
      <c r="I7" s="384"/>
      <c r="J7" s="384"/>
      <c r="K7" s="384"/>
      <c r="L7" s="26">
        <f>'Benef. e Insumos'!E11</f>
        <v>0</v>
      </c>
    </row>
    <row r="8" spans="2:13">
      <c r="B8" s="99" t="s">
        <v>166</v>
      </c>
      <c r="C8" s="384" t="s">
        <v>167</v>
      </c>
      <c r="D8" s="384"/>
      <c r="E8" s="384"/>
      <c r="F8" s="384"/>
      <c r="G8" s="384"/>
      <c r="H8" s="384"/>
      <c r="I8" s="384"/>
      <c r="J8" s="384"/>
      <c r="K8" s="384"/>
      <c r="L8" s="26"/>
    </row>
    <row r="9" spans="2:13">
      <c r="B9" s="87" t="s">
        <v>15</v>
      </c>
      <c r="C9" s="384" t="s">
        <v>16</v>
      </c>
      <c r="D9" s="384"/>
      <c r="E9" s="384"/>
      <c r="F9" s="349" t="s">
        <v>17</v>
      </c>
      <c r="G9" s="349"/>
      <c r="H9" s="349"/>
      <c r="I9" s="349"/>
      <c r="J9" s="27" t="s">
        <v>18</v>
      </c>
      <c r="K9" s="28">
        <v>0.3</v>
      </c>
      <c r="L9" s="29">
        <f>K9*L7</f>
        <v>0</v>
      </c>
      <c r="M9" s="30"/>
    </row>
    <row r="10" spans="2:13">
      <c r="B10" s="110" t="s">
        <v>19</v>
      </c>
      <c r="C10" s="367" t="s">
        <v>172</v>
      </c>
      <c r="D10" s="368"/>
      <c r="E10" s="368"/>
      <c r="F10" s="368"/>
      <c r="G10" s="368"/>
      <c r="H10" s="368"/>
      <c r="I10" s="369"/>
      <c r="J10" s="27" t="s">
        <v>18</v>
      </c>
      <c r="K10" s="28">
        <v>0</v>
      </c>
      <c r="L10" s="29">
        <f t="shared" ref="L10:L13" si="0">K10*L8</f>
        <v>0</v>
      </c>
      <c r="M10" s="30"/>
    </row>
    <row r="11" spans="2:13">
      <c r="B11" s="110" t="s">
        <v>21</v>
      </c>
      <c r="C11" s="367" t="s">
        <v>169</v>
      </c>
      <c r="D11" s="368"/>
      <c r="E11" s="368"/>
      <c r="F11" s="368"/>
      <c r="G11" s="368"/>
      <c r="H11" s="368"/>
      <c r="I11" s="369"/>
      <c r="J11" s="27" t="s">
        <v>18</v>
      </c>
      <c r="K11" s="28">
        <v>0</v>
      </c>
      <c r="L11" s="29">
        <f t="shared" si="0"/>
        <v>0</v>
      </c>
      <c r="M11" s="30"/>
    </row>
    <row r="12" spans="2:13">
      <c r="B12" s="110" t="s">
        <v>23</v>
      </c>
      <c r="C12" s="367" t="s">
        <v>170</v>
      </c>
      <c r="D12" s="368"/>
      <c r="E12" s="368"/>
      <c r="F12" s="368"/>
      <c r="G12" s="368"/>
      <c r="H12" s="368"/>
      <c r="I12" s="369"/>
      <c r="J12" s="27" t="s">
        <v>18</v>
      </c>
      <c r="K12" s="28">
        <v>0</v>
      </c>
      <c r="L12" s="29">
        <f t="shared" si="0"/>
        <v>0</v>
      </c>
      <c r="M12" s="30"/>
    </row>
    <row r="13" spans="2:13">
      <c r="B13" s="110" t="s">
        <v>6</v>
      </c>
      <c r="C13" s="367" t="s">
        <v>171</v>
      </c>
      <c r="D13" s="368"/>
      <c r="E13" s="368"/>
      <c r="F13" s="368"/>
      <c r="G13" s="368"/>
      <c r="H13" s="368"/>
      <c r="I13" s="369"/>
      <c r="J13" s="27" t="s">
        <v>18</v>
      </c>
      <c r="K13" s="28">
        <v>0</v>
      </c>
      <c r="L13" s="29">
        <f t="shared" si="0"/>
        <v>0</v>
      </c>
      <c r="M13" s="30"/>
    </row>
    <row r="14" spans="2:13">
      <c r="B14" s="110" t="s">
        <v>24</v>
      </c>
      <c r="C14" s="399" t="s">
        <v>20</v>
      </c>
      <c r="D14" s="399"/>
      <c r="E14" s="399"/>
      <c r="F14" s="399"/>
      <c r="G14" s="399"/>
      <c r="H14" s="399"/>
      <c r="I14" s="399"/>
      <c r="J14" s="27" t="s">
        <v>18</v>
      </c>
      <c r="K14" s="31">
        <v>0</v>
      </c>
      <c r="L14" s="29">
        <v>0</v>
      </c>
      <c r="M14" s="30"/>
    </row>
    <row r="15" spans="2:13">
      <c r="B15" s="110" t="s">
        <v>25</v>
      </c>
      <c r="C15" s="416" t="s">
        <v>22</v>
      </c>
      <c r="D15" s="416"/>
      <c r="E15" s="416"/>
      <c r="F15" s="416"/>
      <c r="G15" s="416"/>
      <c r="H15" s="416"/>
      <c r="I15" s="416"/>
      <c r="J15" s="416"/>
      <c r="K15" s="416"/>
      <c r="L15" s="29">
        <v>0</v>
      </c>
      <c r="M15" s="30"/>
    </row>
    <row r="16" spans="2:13">
      <c r="B16" s="110" t="s">
        <v>168</v>
      </c>
      <c r="C16" s="453" t="s">
        <v>3</v>
      </c>
      <c r="D16" s="453"/>
      <c r="E16" s="453"/>
      <c r="F16" s="453"/>
      <c r="G16" s="453"/>
      <c r="H16" s="453"/>
      <c r="I16" s="453"/>
      <c r="J16" s="453"/>
      <c r="K16" s="453"/>
      <c r="L16" s="29"/>
      <c r="M16" s="30"/>
    </row>
    <row r="17" spans="2:13">
      <c r="B17" s="417" t="s">
        <v>220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120">
        <f>SUM(L7:L16)</f>
        <v>0</v>
      </c>
      <c r="M17" s="32"/>
    </row>
    <row r="18" spans="2:13">
      <c r="B18" s="33"/>
      <c r="C18" s="33"/>
      <c r="D18" s="33"/>
      <c r="E18" s="33"/>
      <c r="F18" s="33"/>
      <c r="G18" s="33"/>
      <c r="H18" s="33"/>
      <c r="I18" s="34"/>
      <c r="J18" s="33"/>
      <c r="K18" s="33"/>
    </row>
    <row r="19" spans="2:13">
      <c r="B19" s="409" t="s">
        <v>173</v>
      </c>
      <c r="C19" s="409"/>
      <c r="D19" s="409"/>
      <c r="E19" s="409"/>
      <c r="F19" s="409"/>
      <c r="G19" s="409"/>
      <c r="H19" s="409"/>
      <c r="I19" s="409"/>
      <c r="J19" s="409"/>
      <c r="K19" s="409"/>
      <c r="L19" s="24" t="str">
        <f>L5</f>
        <v>SERVENTE</v>
      </c>
    </row>
    <row r="20" spans="2:13">
      <c r="B20" s="407" t="s">
        <v>174</v>
      </c>
      <c r="C20" s="408"/>
      <c r="D20" s="408"/>
      <c r="E20" s="408"/>
      <c r="F20" s="408"/>
      <c r="G20" s="408"/>
      <c r="H20" s="408"/>
      <c r="I20" s="408"/>
      <c r="J20" s="408"/>
      <c r="K20" s="112" t="s">
        <v>18</v>
      </c>
      <c r="L20" s="29" t="s">
        <v>178</v>
      </c>
    </row>
    <row r="21" spans="2:13">
      <c r="B21" s="110" t="s">
        <v>13</v>
      </c>
      <c r="C21" s="367" t="s">
        <v>175</v>
      </c>
      <c r="D21" s="368"/>
      <c r="E21" s="368"/>
      <c r="F21" s="368"/>
      <c r="G21" s="368"/>
      <c r="H21" s="368"/>
      <c r="I21" s="368"/>
      <c r="J21" s="369"/>
      <c r="K21" s="52">
        <v>8.3299999999999999E-2</v>
      </c>
      <c r="L21" s="29">
        <f>K21*L17</f>
        <v>0</v>
      </c>
    </row>
    <row r="22" spans="2:13">
      <c r="B22" s="110" t="s">
        <v>15</v>
      </c>
      <c r="C22" s="367" t="s">
        <v>176</v>
      </c>
      <c r="D22" s="368"/>
      <c r="E22" s="368"/>
      <c r="F22" s="368"/>
      <c r="G22" s="368"/>
      <c r="H22" s="368"/>
      <c r="I22" s="368"/>
      <c r="J22" s="369"/>
      <c r="K22" s="52">
        <v>2.7799999999999998E-2</v>
      </c>
      <c r="L22" s="29">
        <f>K22*L17</f>
        <v>0</v>
      </c>
    </row>
    <row r="23" spans="2:13">
      <c r="B23" s="449" t="s">
        <v>177</v>
      </c>
      <c r="C23" s="348"/>
      <c r="D23" s="348"/>
      <c r="E23" s="348"/>
      <c r="F23" s="348"/>
      <c r="G23" s="348"/>
      <c r="H23" s="348"/>
      <c r="I23" s="348"/>
      <c r="J23" s="450"/>
      <c r="K23" s="52">
        <f>SUM(K21:K22)</f>
        <v>0.1111</v>
      </c>
      <c r="L23" s="29">
        <f>SUM(L21:L22)</f>
        <v>0</v>
      </c>
    </row>
    <row r="24" spans="2:13">
      <c r="B24" s="113"/>
      <c r="C24" s="114"/>
      <c r="D24" s="114"/>
      <c r="E24" s="114"/>
      <c r="F24" s="114"/>
      <c r="G24" s="114"/>
      <c r="H24" s="114"/>
      <c r="I24" s="114"/>
      <c r="J24" s="115"/>
      <c r="K24" s="52"/>
      <c r="L24" s="29"/>
    </row>
    <row r="25" spans="2:13">
      <c r="B25" s="407" t="s">
        <v>179</v>
      </c>
      <c r="C25" s="408"/>
      <c r="D25" s="408"/>
      <c r="E25" s="408"/>
      <c r="F25" s="408"/>
      <c r="G25" s="408"/>
      <c r="H25" s="408"/>
      <c r="I25" s="408"/>
      <c r="J25" s="408"/>
      <c r="K25" s="112" t="s">
        <v>18</v>
      </c>
      <c r="L25" s="29" t="s">
        <v>178</v>
      </c>
    </row>
    <row r="26" spans="2:13">
      <c r="B26" s="92" t="s">
        <v>13</v>
      </c>
      <c r="C26" s="349" t="s">
        <v>26</v>
      </c>
      <c r="D26" s="349"/>
      <c r="E26" s="349"/>
      <c r="F26" s="349"/>
      <c r="G26" s="349"/>
      <c r="H26" s="349"/>
      <c r="I26" s="349"/>
      <c r="J26" s="349"/>
      <c r="K26" s="44">
        <v>0.2</v>
      </c>
      <c r="L26" s="45">
        <f>ROUND($K$26*L17,2)</f>
        <v>0</v>
      </c>
    </row>
    <row r="27" spans="2:13">
      <c r="B27" s="92" t="s">
        <v>15</v>
      </c>
      <c r="C27" s="349" t="s">
        <v>27</v>
      </c>
      <c r="D27" s="349"/>
      <c r="E27" s="349"/>
      <c r="F27" s="349"/>
      <c r="G27" s="349"/>
      <c r="H27" s="349"/>
      <c r="I27" s="349"/>
      <c r="J27" s="349"/>
      <c r="K27" s="44">
        <v>1.4999999999999999E-2</v>
      </c>
      <c r="L27" s="45">
        <f>ROUND($K$27*L17,2)</f>
        <v>0</v>
      </c>
    </row>
    <row r="28" spans="2:13">
      <c r="B28" s="92" t="s">
        <v>19</v>
      </c>
      <c r="C28" s="349" t="s">
        <v>28</v>
      </c>
      <c r="D28" s="349"/>
      <c r="E28" s="349"/>
      <c r="F28" s="349"/>
      <c r="G28" s="349"/>
      <c r="H28" s="349"/>
      <c r="I28" s="349"/>
      <c r="J28" s="349"/>
      <c r="K28" s="44">
        <v>0.01</v>
      </c>
      <c r="L28" s="45">
        <f>ROUND(K28*$L$17,2)</f>
        <v>0</v>
      </c>
    </row>
    <row r="29" spans="2:13">
      <c r="B29" s="92" t="s">
        <v>21</v>
      </c>
      <c r="C29" s="349" t="s">
        <v>29</v>
      </c>
      <c r="D29" s="349"/>
      <c r="E29" s="349"/>
      <c r="F29" s="349"/>
      <c r="G29" s="349"/>
      <c r="H29" s="349"/>
      <c r="I29" s="349"/>
      <c r="J29" s="349"/>
      <c r="K29" s="44">
        <v>2E-3</v>
      </c>
      <c r="L29" s="45">
        <f>ROUND(K29*$L$17,2)</f>
        <v>0</v>
      </c>
    </row>
    <row r="30" spans="2:13">
      <c r="B30" s="92" t="s">
        <v>23</v>
      </c>
      <c r="C30" s="349" t="s">
        <v>30</v>
      </c>
      <c r="D30" s="349"/>
      <c r="E30" s="349"/>
      <c r="F30" s="349"/>
      <c r="G30" s="349"/>
      <c r="H30" s="349"/>
      <c r="I30" s="349"/>
      <c r="J30" s="349"/>
      <c r="K30" s="44">
        <v>2.5000000000000001E-2</v>
      </c>
      <c r="L30" s="45">
        <f>ROUND(K30*$L$17,2)</f>
        <v>0</v>
      </c>
      <c r="M30" s="46"/>
    </row>
    <row r="31" spans="2:13">
      <c r="B31" s="92" t="s">
        <v>6</v>
      </c>
      <c r="C31" s="367" t="s">
        <v>165</v>
      </c>
      <c r="D31" s="369"/>
      <c r="E31" s="454">
        <v>0.08</v>
      </c>
      <c r="F31" s="455"/>
      <c r="G31" s="367" t="s">
        <v>164</v>
      </c>
      <c r="H31" s="368"/>
      <c r="I31" s="368"/>
      <c r="J31" s="369"/>
      <c r="K31" s="44">
        <f>E31*(1+(1/12)+(1/12/3))</f>
        <v>8.8888888888888878E-2</v>
      </c>
      <c r="L31" s="45">
        <f>ROUND(K31*($L$17+(1/3/12*L17)+(1/12*L17)),2)</f>
        <v>0</v>
      </c>
      <c r="M31" s="18" t="s">
        <v>180</v>
      </c>
    </row>
    <row r="32" spans="2:13">
      <c r="B32" s="92" t="s">
        <v>24</v>
      </c>
      <c r="C32" s="349" t="s">
        <v>31</v>
      </c>
      <c r="D32" s="349"/>
      <c r="E32" s="349"/>
      <c r="F32" s="349"/>
      <c r="G32" s="91" t="s">
        <v>32</v>
      </c>
      <c r="H32" s="48">
        <v>0.03</v>
      </c>
      <c r="I32" s="91" t="s">
        <v>33</v>
      </c>
      <c r="J32" s="81">
        <v>1</v>
      </c>
      <c r="K32" s="49">
        <f>H32*J32</f>
        <v>0.03</v>
      </c>
      <c r="L32" s="45">
        <f>ROUND(K32*$L$17,2)</f>
        <v>0</v>
      </c>
    </row>
    <row r="33" spans="2:20">
      <c r="B33" s="92" t="s">
        <v>25</v>
      </c>
      <c r="C33" s="349" t="s">
        <v>34</v>
      </c>
      <c r="D33" s="349"/>
      <c r="E33" s="349"/>
      <c r="F33" s="349"/>
      <c r="G33" s="349"/>
      <c r="H33" s="349"/>
      <c r="I33" s="349"/>
      <c r="J33" s="349"/>
      <c r="K33" s="44">
        <v>6.0000000000000001E-3</v>
      </c>
      <c r="L33" s="45">
        <f>ROUND(K33*$L$17,2)</f>
        <v>0</v>
      </c>
      <c r="M33" s="19"/>
      <c r="N33" s="19"/>
      <c r="O33" s="19"/>
      <c r="P33" s="19"/>
      <c r="Q33" s="19"/>
      <c r="R33" s="19"/>
      <c r="S33" s="19"/>
      <c r="T33" s="19"/>
    </row>
    <row r="34" spans="2:20">
      <c r="B34" s="449" t="s">
        <v>181</v>
      </c>
      <c r="C34" s="348"/>
      <c r="D34" s="348"/>
      <c r="E34" s="348"/>
      <c r="F34" s="348"/>
      <c r="G34" s="348"/>
      <c r="H34" s="348"/>
      <c r="I34" s="348"/>
      <c r="J34" s="450"/>
      <c r="K34" s="52">
        <f>SUM(K26:K33)</f>
        <v>0.37688888888888894</v>
      </c>
      <c r="L34" s="29">
        <f>SUM(L26:L33)</f>
        <v>0</v>
      </c>
      <c r="M34" s="19"/>
      <c r="N34" s="19"/>
      <c r="O34" s="19"/>
      <c r="P34" s="19"/>
      <c r="Q34" s="19"/>
      <c r="R34" s="19"/>
      <c r="S34" s="19"/>
      <c r="T34" s="19"/>
    </row>
    <row r="35" spans="2:20">
      <c r="B35" s="113"/>
      <c r="C35" s="114"/>
      <c r="D35" s="114"/>
      <c r="E35" s="114"/>
      <c r="F35" s="114"/>
      <c r="G35" s="114"/>
      <c r="H35" s="114"/>
      <c r="I35" s="114"/>
      <c r="J35" s="115"/>
      <c r="K35" s="52"/>
      <c r="L35" s="29"/>
      <c r="M35" s="19"/>
      <c r="N35" s="19"/>
      <c r="O35" s="19"/>
      <c r="P35" s="19"/>
      <c r="Q35" s="19"/>
      <c r="R35" s="19"/>
      <c r="S35" s="19"/>
      <c r="T35" s="19"/>
    </row>
    <row r="36" spans="2:20">
      <c r="B36" s="407" t="s">
        <v>182</v>
      </c>
      <c r="C36" s="408"/>
      <c r="D36" s="408"/>
      <c r="E36" s="408"/>
      <c r="F36" s="408"/>
      <c r="G36" s="408"/>
      <c r="H36" s="408"/>
      <c r="I36" s="408"/>
      <c r="J36" s="408"/>
      <c r="K36" s="112"/>
      <c r="L36" s="29" t="s">
        <v>178</v>
      </c>
    </row>
    <row r="37" spans="2:20">
      <c r="B37" s="87" t="s">
        <v>13</v>
      </c>
      <c r="C37" s="367" t="str">
        <f>'Benef. e Insumos'!B19</f>
        <v xml:space="preserve">CLÁUSULA SÉTIMA - CESTA BÁSICA </v>
      </c>
      <c r="D37" s="368"/>
      <c r="E37" s="368"/>
      <c r="F37" s="368"/>
      <c r="G37" s="368"/>
      <c r="H37" s="368"/>
      <c r="I37" s="368"/>
      <c r="J37" s="369"/>
      <c r="K37" s="100"/>
      <c r="L37" s="29">
        <f>'Benef. e Insumos'!D21</f>
        <v>0</v>
      </c>
    </row>
    <row r="38" spans="2:20">
      <c r="B38" s="87" t="s">
        <v>15</v>
      </c>
      <c r="C38" s="367" t="str">
        <f>'Benef. e Insumos'!B13</f>
        <v>CLÁUSULA SÉTIMA - TÍQUETE REFEIÇÃO</v>
      </c>
      <c r="D38" s="368"/>
      <c r="E38" s="368"/>
      <c r="F38" s="368"/>
      <c r="G38" s="368"/>
      <c r="H38" s="368"/>
      <c r="I38" s="368"/>
      <c r="J38" s="369"/>
      <c r="K38" s="100"/>
      <c r="L38" s="29">
        <f>'Benef. e Insumos'!H17</f>
        <v>300.12</v>
      </c>
    </row>
    <row r="39" spans="2:20">
      <c r="B39" s="87" t="s">
        <v>19</v>
      </c>
      <c r="C39" s="367" t="e">
        <f>'Benef. e Insumos'!#REF!</f>
        <v>#REF!</v>
      </c>
      <c r="D39" s="368"/>
      <c r="E39" s="368"/>
      <c r="F39" s="368"/>
      <c r="G39" s="368"/>
      <c r="H39" s="368"/>
      <c r="I39" s="368"/>
      <c r="J39" s="369"/>
      <c r="K39" s="100"/>
      <c r="L39" s="29" t="e">
        <f>'Benef. e Insumos'!#REF!</f>
        <v>#REF!</v>
      </c>
    </row>
    <row r="40" spans="2:20">
      <c r="B40" s="99" t="s">
        <v>21</v>
      </c>
      <c r="C40" s="367" t="e">
        <f>'Benef. e Insumos'!#REF!</f>
        <v>#REF!</v>
      </c>
      <c r="D40" s="368"/>
      <c r="E40" s="368"/>
      <c r="F40" s="368"/>
      <c r="G40" s="368"/>
      <c r="H40" s="368"/>
      <c r="I40" s="368"/>
      <c r="J40" s="369"/>
      <c r="K40" s="100"/>
      <c r="L40" s="29" t="e">
        <f>'Benef. e Insumos'!#REF!</f>
        <v>#REF!</v>
      </c>
    </row>
    <row r="41" spans="2:20">
      <c r="B41" s="99" t="s">
        <v>23</v>
      </c>
      <c r="C41" s="367" t="e">
        <f>'Benef. e Insumos'!#REF!</f>
        <v>#REF!</v>
      </c>
      <c r="D41" s="368"/>
      <c r="E41" s="368"/>
      <c r="F41" s="368"/>
      <c r="G41" s="368"/>
      <c r="H41" s="368"/>
      <c r="I41" s="368"/>
      <c r="J41" s="369"/>
      <c r="K41" s="101"/>
      <c r="L41" s="29" t="e">
        <f>'Benef. e Insumos'!#REF!</f>
        <v>#REF!</v>
      </c>
    </row>
    <row r="42" spans="2:20">
      <c r="B42" s="99" t="s">
        <v>6</v>
      </c>
      <c r="C42" s="367" t="e">
        <f>'Benef. e Insumos'!#REF!</f>
        <v>#REF!</v>
      </c>
      <c r="D42" s="368"/>
      <c r="E42" s="368"/>
      <c r="F42" s="368"/>
      <c r="G42" s="368"/>
      <c r="H42" s="368"/>
      <c r="I42" s="368"/>
      <c r="J42" s="369"/>
      <c r="K42" s="102"/>
      <c r="L42" s="29" t="e">
        <f>'Benef. e Insumos'!#REF!</f>
        <v>#REF!</v>
      </c>
    </row>
    <row r="43" spans="2:20">
      <c r="B43" s="99" t="s">
        <v>24</v>
      </c>
      <c r="C43" s="367" t="str">
        <f>'Benef. e Insumos'!B27</f>
        <v xml:space="preserve"> AUXÍLIO TRANSPORTE</v>
      </c>
      <c r="D43" s="368"/>
      <c r="E43" s="368"/>
      <c r="F43" s="368"/>
      <c r="G43" s="368"/>
      <c r="H43" s="368"/>
      <c r="I43" s="368"/>
      <c r="J43" s="369"/>
      <c r="K43" s="102"/>
      <c r="L43" s="29" t="e">
        <f>'Benef. e Insumos'!#REF!</f>
        <v>#REF!</v>
      </c>
    </row>
    <row r="44" spans="2:20">
      <c r="B44" s="99" t="s">
        <v>25</v>
      </c>
      <c r="C44" s="453" t="s">
        <v>3</v>
      </c>
      <c r="D44" s="453"/>
      <c r="E44" s="453"/>
      <c r="F44" s="453"/>
      <c r="G44" s="453"/>
      <c r="H44" s="453"/>
      <c r="I44" s="453"/>
      <c r="J44" s="453"/>
      <c r="K44" s="453"/>
      <c r="L44" s="36">
        <v>0</v>
      </c>
    </row>
    <row r="45" spans="2:20">
      <c r="B45" s="449" t="s">
        <v>184</v>
      </c>
      <c r="C45" s="348"/>
      <c r="D45" s="348"/>
      <c r="E45" s="348"/>
      <c r="F45" s="348"/>
      <c r="G45" s="348"/>
      <c r="H45" s="348"/>
      <c r="I45" s="348"/>
      <c r="J45" s="450"/>
      <c r="K45" s="52"/>
      <c r="L45" s="29" t="e">
        <f>SUM(L37:L44)</f>
        <v>#REF!</v>
      </c>
    </row>
    <row r="46" spans="2:20">
      <c r="B46" s="113"/>
      <c r="C46" s="114"/>
      <c r="D46" s="114"/>
      <c r="E46" s="114"/>
      <c r="F46" s="114"/>
      <c r="G46" s="114"/>
      <c r="H46" s="114"/>
      <c r="I46" s="114"/>
      <c r="J46" s="115"/>
      <c r="K46" s="52"/>
      <c r="L46" s="29"/>
    </row>
    <row r="47" spans="2:20">
      <c r="B47" s="393" t="s">
        <v>185</v>
      </c>
      <c r="C47" s="393"/>
      <c r="D47" s="393"/>
      <c r="E47" s="393"/>
      <c r="F47" s="393"/>
      <c r="G47" s="393"/>
      <c r="H47" s="393"/>
      <c r="I47" s="393"/>
      <c r="J47" s="393"/>
      <c r="K47" s="393"/>
      <c r="L47" s="24" t="str">
        <f>L5</f>
        <v>SERVENTE</v>
      </c>
    </row>
    <row r="48" spans="2:20">
      <c r="B48" s="110" t="s">
        <v>186</v>
      </c>
      <c r="C48" s="367" t="s">
        <v>189</v>
      </c>
      <c r="D48" s="368"/>
      <c r="E48" s="368"/>
      <c r="F48" s="368"/>
      <c r="G48" s="368"/>
      <c r="H48" s="368"/>
      <c r="I48" s="368"/>
      <c r="J48" s="369"/>
      <c r="K48" s="100"/>
      <c r="L48" s="29">
        <f>L23</f>
        <v>0</v>
      </c>
    </row>
    <row r="49" spans="2:12">
      <c r="B49" s="110" t="s">
        <v>187</v>
      </c>
      <c r="C49" s="367" t="s">
        <v>190</v>
      </c>
      <c r="D49" s="368"/>
      <c r="E49" s="368"/>
      <c r="F49" s="368"/>
      <c r="G49" s="368"/>
      <c r="H49" s="368"/>
      <c r="I49" s="368"/>
      <c r="J49" s="369"/>
      <c r="K49" s="100"/>
      <c r="L49" s="29">
        <f>L34</f>
        <v>0</v>
      </c>
    </row>
    <row r="50" spans="2:12">
      <c r="B50" s="110" t="s">
        <v>188</v>
      </c>
      <c r="C50" s="367" t="s">
        <v>192</v>
      </c>
      <c r="D50" s="368"/>
      <c r="E50" s="368"/>
      <c r="F50" s="368"/>
      <c r="G50" s="368"/>
      <c r="H50" s="368"/>
      <c r="I50" s="368"/>
      <c r="J50" s="369"/>
      <c r="K50" s="100"/>
      <c r="L50" s="29" t="e">
        <f>L45</f>
        <v>#REF!</v>
      </c>
    </row>
    <row r="51" spans="2:12">
      <c r="B51" s="355" t="s">
        <v>191</v>
      </c>
      <c r="C51" s="356"/>
      <c r="D51" s="356"/>
      <c r="E51" s="356"/>
      <c r="F51" s="356"/>
      <c r="G51" s="356"/>
      <c r="H51" s="356"/>
      <c r="I51" s="356"/>
      <c r="J51" s="357"/>
      <c r="K51" s="121"/>
      <c r="L51" s="122" t="e">
        <f>SUM(L48:L50)</f>
        <v>#REF!</v>
      </c>
    </row>
    <row r="52" spans="2:12">
      <c r="B52" s="350"/>
      <c r="C52" s="351"/>
      <c r="D52" s="351"/>
      <c r="E52" s="351"/>
      <c r="F52" s="351"/>
      <c r="G52" s="351"/>
      <c r="H52" s="351"/>
      <c r="I52" s="351"/>
      <c r="J52" s="351"/>
      <c r="K52" s="351"/>
      <c r="L52" s="351"/>
    </row>
    <row r="53" spans="2:12">
      <c r="B53" s="409" t="s">
        <v>183</v>
      </c>
      <c r="C53" s="409"/>
      <c r="D53" s="409"/>
      <c r="E53" s="409"/>
      <c r="F53" s="409"/>
      <c r="G53" s="409"/>
      <c r="H53" s="409"/>
      <c r="I53" s="409"/>
      <c r="J53" s="409"/>
      <c r="K53" s="117" t="s">
        <v>18</v>
      </c>
      <c r="L53" s="118" t="s">
        <v>178</v>
      </c>
    </row>
    <row r="54" spans="2:12">
      <c r="B54" s="87" t="s">
        <v>13</v>
      </c>
      <c r="C54" s="349" t="s">
        <v>35</v>
      </c>
      <c r="D54" s="349"/>
      <c r="E54" s="349"/>
      <c r="F54" s="349"/>
      <c r="G54" s="349"/>
      <c r="H54" s="349"/>
      <c r="I54" s="56">
        <v>30</v>
      </c>
      <c r="J54" s="57">
        <v>0.05</v>
      </c>
      <c r="K54" s="52">
        <f>I54/30/12*J54</f>
        <v>4.1666666666666666E-3</v>
      </c>
      <c r="L54" s="29">
        <f t="shared" ref="L54:L59" si="1">ROUND(K54*$L$17,2)</f>
        <v>0</v>
      </c>
    </row>
    <row r="55" spans="2:12">
      <c r="B55" s="87" t="s">
        <v>15</v>
      </c>
      <c r="C55" s="349" t="s">
        <v>36</v>
      </c>
      <c r="D55" s="349"/>
      <c r="E55" s="349"/>
      <c r="F55" s="349"/>
      <c r="G55" s="349"/>
      <c r="H55" s="349"/>
      <c r="I55" s="349"/>
      <c r="J55" s="349"/>
      <c r="K55" s="52">
        <f>K31*K54</f>
        <v>3.703703703703703E-4</v>
      </c>
      <c r="L55" s="29">
        <f t="shared" si="1"/>
        <v>0</v>
      </c>
    </row>
    <row r="56" spans="2:12">
      <c r="B56" s="110" t="s">
        <v>19</v>
      </c>
      <c r="C56" s="349" t="s">
        <v>194</v>
      </c>
      <c r="D56" s="349"/>
      <c r="E56" s="349"/>
      <c r="F56" s="349"/>
      <c r="G56" s="349"/>
      <c r="H56" s="349"/>
      <c r="I56" s="349"/>
      <c r="J56" s="349"/>
      <c r="K56" s="52">
        <f>0.5*K55</f>
        <v>1.8518518518518515E-4</v>
      </c>
      <c r="L56" s="29">
        <f t="shared" si="1"/>
        <v>0</v>
      </c>
    </row>
    <row r="57" spans="2:12">
      <c r="B57" s="110" t="s">
        <v>21</v>
      </c>
      <c r="C57" s="349" t="s">
        <v>196</v>
      </c>
      <c r="D57" s="349"/>
      <c r="E57" s="349"/>
      <c r="F57" s="349"/>
      <c r="G57" s="349"/>
      <c r="H57" s="349"/>
      <c r="I57" s="349"/>
      <c r="J57" s="349"/>
      <c r="K57" s="52">
        <v>4.0000000000000002E-4</v>
      </c>
      <c r="L57" s="29">
        <f t="shared" si="1"/>
        <v>0</v>
      </c>
    </row>
    <row r="58" spans="2:12">
      <c r="B58" s="110" t="s">
        <v>23</v>
      </c>
      <c r="C58" s="349" t="s">
        <v>195</v>
      </c>
      <c r="D58" s="349"/>
      <c r="E58" s="349"/>
      <c r="F58" s="349"/>
      <c r="G58" s="349"/>
      <c r="H58" s="349"/>
      <c r="I58" s="349"/>
      <c r="J58" s="349"/>
      <c r="K58" s="52">
        <f>K34*K57</f>
        <v>1.5075555555555558E-4</v>
      </c>
      <c r="L58" s="29">
        <f t="shared" si="1"/>
        <v>0</v>
      </c>
    </row>
    <row r="59" spans="2:12">
      <c r="B59" s="110" t="s">
        <v>6</v>
      </c>
      <c r="C59" s="349" t="s">
        <v>197</v>
      </c>
      <c r="D59" s="349"/>
      <c r="E59" s="349"/>
      <c r="F59" s="349"/>
      <c r="G59" s="349"/>
      <c r="H59" s="349"/>
      <c r="I59" s="349"/>
      <c r="J59" s="349"/>
      <c r="K59" s="116">
        <f>0.5*0.08*K57</f>
        <v>1.6000000000000003E-5</v>
      </c>
      <c r="L59" s="29">
        <f t="shared" si="1"/>
        <v>0</v>
      </c>
    </row>
    <row r="60" spans="2:12" ht="15" customHeight="1">
      <c r="B60" s="355" t="s">
        <v>193</v>
      </c>
      <c r="C60" s="356"/>
      <c r="D60" s="356"/>
      <c r="E60" s="356"/>
      <c r="F60" s="356"/>
      <c r="G60" s="356"/>
      <c r="H60" s="356"/>
      <c r="I60" s="356"/>
      <c r="J60" s="357"/>
      <c r="K60" s="121"/>
      <c r="L60" s="122">
        <f>SUM(L54:L59)</f>
        <v>0</v>
      </c>
    </row>
    <row r="61" spans="2:12">
      <c r="B61" s="37"/>
      <c r="C61" s="33"/>
      <c r="D61" s="33"/>
      <c r="E61" s="37"/>
      <c r="F61" s="37"/>
      <c r="G61" s="37"/>
      <c r="H61" s="37"/>
      <c r="I61" s="38"/>
      <c r="J61" s="39"/>
      <c r="K61" s="37"/>
    </row>
    <row r="62" spans="2:12">
      <c r="B62" s="409" t="s">
        <v>198</v>
      </c>
      <c r="C62" s="409"/>
      <c r="D62" s="409"/>
      <c r="E62" s="409"/>
      <c r="F62" s="409"/>
      <c r="G62" s="409"/>
      <c r="H62" s="409"/>
      <c r="I62" s="409"/>
      <c r="J62" s="409"/>
      <c r="K62" s="117"/>
      <c r="L62" s="118"/>
    </row>
    <row r="63" spans="2:12">
      <c r="B63" s="407" t="s">
        <v>203</v>
      </c>
      <c r="C63" s="408"/>
      <c r="D63" s="408"/>
      <c r="E63" s="408"/>
      <c r="F63" s="408"/>
      <c r="G63" s="408"/>
      <c r="H63" s="408"/>
      <c r="I63" s="408"/>
      <c r="J63" s="408"/>
      <c r="K63" s="112" t="s">
        <v>18</v>
      </c>
      <c r="L63" s="29" t="s">
        <v>178</v>
      </c>
    </row>
    <row r="64" spans="2:12">
      <c r="B64" s="87" t="s">
        <v>13</v>
      </c>
      <c r="C64" s="384" t="s">
        <v>199</v>
      </c>
      <c r="D64" s="384"/>
      <c r="E64" s="384"/>
      <c r="F64" s="384"/>
      <c r="G64" s="384"/>
      <c r="H64" s="384"/>
      <c r="I64" s="384"/>
      <c r="J64" s="384"/>
      <c r="K64" s="59">
        <f>1/12</f>
        <v>8.3333333333333329E-2</v>
      </c>
      <c r="L64" s="29">
        <f>K64*$L$17</f>
        <v>0</v>
      </c>
    </row>
    <row r="65" spans="2:13">
      <c r="B65" s="87" t="s">
        <v>15</v>
      </c>
      <c r="C65" s="349" t="s">
        <v>200</v>
      </c>
      <c r="D65" s="349"/>
      <c r="E65" s="349"/>
      <c r="F65" s="349"/>
      <c r="G65" s="451" t="s">
        <v>38</v>
      </c>
      <c r="H65" s="451"/>
      <c r="I65" s="451"/>
      <c r="J65" s="60">
        <v>3</v>
      </c>
      <c r="K65" s="59">
        <f>J65/30/12</f>
        <v>8.3333333333333332E-3</v>
      </c>
      <c r="L65" s="29">
        <f>K65*$L$17</f>
        <v>0</v>
      </c>
      <c r="M65" s="18" t="s">
        <v>180</v>
      </c>
    </row>
    <row r="66" spans="2:13">
      <c r="B66" s="87" t="s">
        <v>19</v>
      </c>
      <c r="C66" s="349" t="s">
        <v>39</v>
      </c>
      <c r="D66" s="349"/>
      <c r="E66" s="349"/>
      <c r="F66" s="349"/>
      <c r="G66" s="451" t="s">
        <v>37</v>
      </c>
      <c r="H66" s="451"/>
      <c r="I66" s="54">
        <v>1.4999999999999999E-2</v>
      </c>
      <c r="J66" s="61">
        <v>5</v>
      </c>
      <c r="K66" s="59">
        <f>J66/30/12*I66</f>
        <v>2.0833333333333332E-4</v>
      </c>
      <c r="L66" s="29">
        <f t="shared" ref="L66:L69" si="2">K66*$L$17</f>
        <v>0</v>
      </c>
    </row>
    <row r="67" spans="2:13">
      <c r="B67" s="87" t="s">
        <v>21</v>
      </c>
      <c r="C67" s="451" t="s">
        <v>201</v>
      </c>
      <c r="D67" s="451"/>
      <c r="E67" s="451"/>
      <c r="F67" s="60"/>
      <c r="G67" s="451" t="s">
        <v>37</v>
      </c>
      <c r="H67" s="451"/>
      <c r="I67" s="54">
        <v>7.7999999999999996E-3</v>
      </c>
      <c r="J67" s="62">
        <v>15</v>
      </c>
      <c r="K67" s="59">
        <f>J67/30/12*I67</f>
        <v>3.2499999999999999E-4</v>
      </c>
      <c r="L67" s="29">
        <f t="shared" si="2"/>
        <v>0</v>
      </c>
    </row>
    <row r="68" spans="2:13">
      <c r="B68" s="87" t="s">
        <v>23</v>
      </c>
      <c r="C68" s="451" t="s">
        <v>202</v>
      </c>
      <c r="D68" s="451"/>
      <c r="E68" s="451"/>
      <c r="F68" s="60"/>
      <c r="G68" s="452"/>
      <c r="H68" s="451"/>
      <c r="I68" s="54"/>
      <c r="J68" s="62"/>
      <c r="K68" s="59">
        <v>6.1000000000000004E-3</v>
      </c>
      <c r="L68" s="29">
        <f t="shared" si="2"/>
        <v>0</v>
      </c>
      <c r="M68" s="82" t="s">
        <v>180</v>
      </c>
    </row>
    <row r="69" spans="2:13">
      <c r="B69" s="87" t="s">
        <v>6</v>
      </c>
      <c r="C69" s="453" t="s">
        <v>3</v>
      </c>
      <c r="D69" s="453"/>
      <c r="E69" s="453" t="s">
        <v>40</v>
      </c>
      <c r="F69" s="453"/>
      <c r="G69" s="453"/>
      <c r="H69" s="453"/>
      <c r="I69" s="453"/>
      <c r="J69" s="453"/>
      <c r="K69" s="63"/>
      <c r="L69" s="29">
        <f t="shared" si="2"/>
        <v>0</v>
      </c>
      <c r="M69" s="82"/>
    </row>
    <row r="70" spans="2:13">
      <c r="B70" s="449" t="s">
        <v>204</v>
      </c>
      <c r="C70" s="348"/>
      <c r="D70" s="348"/>
      <c r="E70" s="348"/>
      <c r="F70" s="348"/>
      <c r="G70" s="348"/>
      <c r="H70" s="348"/>
      <c r="I70" s="348"/>
      <c r="J70" s="450"/>
      <c r="K70" s="64"/>
      <c r="L70" s="29">
        <f>SUM(L64:L69)</f>
        <v>0</v>
      </c>
    </row>
    <row r="71" spans="2:13">
      <c r="B71" s="113"/>
      <c r="C71" s="114"/>
      <c r="D71" s="114"/>
      <c r="E71" s="114"/>
      <c r="F71" s="114"/>
      <c r="G71" s="114"/>
      <c r="H71" s="114"/>
      <c r="I71" s="114"/>
      <c r="J71" s="115"/>
      <c r="K71" s="52"/>
      <c r="L71" s="29"/>
    </row>
    <row r="72" spans="2:13">
      <c r="B72" s="407" t="s">
        <v>205</v>
      </c>
      <c r="C72" s="408"/>
      <c r="D72" s="408"/>
      <c r="E72" s="408"/>
      <c r="F72" s="408"/>
      <c r="G72" s="408"/>
      <c r="H72" s="408"/>
      <c r="I72" s="408"/>
      <c r="J72" s="408"/>
      <c r="K72" s="112" t="s">
        <v>18</v>
      </c>
      <c r="L72" s="29" t="s">
        <v>178</v>
      </c>
    </row>
    <row r="73" spans="2:13">
      <c r="B73" s="110" t="s">
        <v>13</v>
      </c>
      <c r="C73" s="384" t="s">
        <v>206</v>
      </c>
      <c r="D73" s="384"/>
      <c r="E73" s="384"/>
      <c r="F73" s="384"/>
      <c r="G73" s="384"/>
      <c r="H73" s="384"/>
      <c r="I73" s="384"/>
      <c r="J73" s="384"/>
      <c r="K73" s="59">
        <v>0</v>
      </c>
      <c r="L73" s="29">
        <f>K73*$L$17</f>
        <v>0</v>
      </c>
    </row>
    <row r="74" spans="2:13">
      <c r="B74" s="449" t="s">
        <v>207</v>
      </c>
      <c r="C74" s="348"/>
      <c r="D74" s="348"/>
      <c r="E74" s="348"/>
      <c r="F74" s="348"/>
      <c r="G74" s="348"/>
      <c r="H74" s="348"/>
      <c r="I74" s="348"/>
      <c r="J74" s="450"/>
      <c r="K74" s="64"/>
      <c r="L74" s="29">
        <f>SUM(L73:L73)</f>
        <v>0</v>
      </c>
    </row>
    <row r="75" spans="2:13">
      <c r="B75" s="113"/>
      <c r="C75" s="114"/>
      <c r="D75" s="114"/>
      <c r="E75" s="114"/>
      <c r="F75" s="114"/>
      <c r="G75" s="114"/>
      <c r="H75" s="114"/>
      <c r="I75" s="114"/>
      <c r="J75" s="114"/>
      <c r="K75" s="119"/>
      <c r="L75" s="29"/>
    </row>
    <row r="76" spans="2:13">
      <c r="B76" s="393" t="s">
        <v>208</v>
      </c>
      <c r="C76" s="393"/>
      <c r="D76" s="393"/>
      <c r="E76" s="393"/>
      <c r="F76" s="393"/>
      <c r="G76" s="393"/>
      <c r="H76" s="393"/>
      <c r="I76" s="393"/>
      <c r="J76" s="393"/>
      <c r="K76" s="393"/>
      <c r="L76" s="24">
        <f>L34</f>
        <v>0</v>
      </c>
    </row>
    <row r="77" spans="2:13">
      <c r="B77" s="110" t="s">
        <v>209</v>
      </c>
      <c r="C77" s="367" t="s">
        <v>200</v>
      </c>
      <c r="D77" s="368"/>
      <c r="E77" s="368"/>
      <c r="F77" s="368"/>
      <c r="G77" s="368"/>
      <c r="H77" s="368"/>
      <c r="I77" s="368"/>
      <c r="J77" s="369"/>
      <c r="K77" s="100"/>
      <c r="L77" s="29">
        <f>L70</f>
        <v>0</v>
      </c>
    </row>
    <row r="78" spans="2:13">
      <c r="B78" s="110" t="s">
        <v>210</v>
      </c>
      <c r="C78" s="367" t="s">
        <v>211</v>
      </c>
      <c r="D78" s="368"/>
      <c r="E78" s="368"/>
      <c r="F78" s="368"/>
      <c r="G78" s="368"/>
      <c r="H78" s="368"/>
      <c r="I78" s="368"/>
      <c r="J78" s="369"/>
      <c r="K78" s="100"/>
      <c r="L78" s="29">
        <f>L74</f>
        <v>0</v>
      </c>
    </row>
    <row r="79" spans="2:13">
      <c r="B79" s="355" t="s">
        <v>212</v>
      </c>
      <c r="C79" s="356"/>
      <c r="D79" s="356"/>
      <c r="E79" s="356"/>
      <c r="F79" s="356"/>
      <c r="G79" s="356"/>
      <c r="H79" s="356"/>
      <c r="I79" s="356"/>
      <c r="J79" s="357"/>
      <c r="K79" s="121"/>
      <c r="L79" s="122">
        <f>SUM(L77:L78)</f>
        <v>0</v>
      </c>
    </row>
    <row r="80" spans="2:13">
      <c r="B80" s="350"/>
      <c r="C80" s="351"/>
      <c r="D80" s="351"/>
      <c r="E80" s="351"/>
      <c r="F80" s="351"/>
      <c r="G80" s="351"/>
      <c r="H80" s="351"/>
      <c r="I80" s="351"/>
      <c r="J80" s="351"/>
      <c r="K80" s="351"/>
      <c r="L80" s="351"/>
    </row>
    <row r="81" spans="2:13">
      <c r="B81" s="409" t="s">
        <v>213</v>
      </c>
      <c r="C81" s="409"/>
      <c r="D81" s="409"/>
      <c r="E81" s="409"/>
      <c r="F81" s="409"/>
      <c r="G81" s="409"/>
      <c r="H81" s="409"/>
      <c r="I81" s="409"/>
      <c r="J81" s="409"/>
      <c r="K81" s="117"/>
      <c r="L81" s="118"/>
      <c r="M81" s="40"/>
    </row>
    <row r="82" spans="2:13">
      <c r="B82" s="87" t="s">
        <v>13</v>
      </c>
      <c r="C82" s="427" t="s">
        <v>66</v>
      </c>
      <c r="D82" s="427"/>
      <c r="E82" s="427"/>
      <c r="F82" s="427"/>
      <c r="G82" s="427"/>
      <c r="H82" s="427"/>
      <c r="I82" s="427"/>
      <c r="J82" s="427"/>
      <c r="K82" s="427"/>
      <c r="L82" s="29">
        <f>'Benef. e Insumos'!H54</f>
        <v>89.157499999999999</v>
      </c>
    </row>
    <row r="83" spans="2:13">
      <c r="B83" s="87" t="s">
        <v>15</v>
      </c>
      <c r="C83" s="374" t="s">
        <v>215</v>
      </c>
      <c r="D83" s="426"/>
      <c r="E83" s="441" t="s">
        <v>67</v>
      </c>
      <c r="F83" s="442"/>
      <c r="G83" s="442"/>
      <c r="H83" s="442"/>
      <c r="I83" s="443"/>
      <c r="J83" s="462">
        <v>0.12</v>
      </c>
      <c r="K83" s="463"/>
      <c r="L83" s="36" t="e">
        <f>(L17+L51+L60+L79+L82)/(1-J83)*J83</f>
        <v>#REF!</v>
      </c>
      <c r="M83" s="41"/>
    </row>
    <row r="84" spans="2:13">
      <c r="B84" s="111" t="s">
        <v>222</v>
      </c>
      <c r="C84" s="374" t="s">
        <v>223</v>
      </c>
      <c r="D84" s="426"/>
      <c r="E84" s="441"/>
      <c r="F84" s="442"/>
      <c r="G84" s="442"/>
      <c r="H84" s="442"/>
      <c r="I84" s="443"/>
      <c r="J84" s="444">
        <f>H95+H96</f>
        <v>9.2499999999999999E-2</v>
      </c>
      <c r="K84" s="445"/>
      <c r="L84" s="36" t="e">
        <f>-J84*L83</f>
        <v>#REF!</v>
      </c>
      <c r="M84" s="41"/>
    </row>
    <row r="85" spans="2:13">
      <c r="B85" s="110" t="s">
        <v>19</v>
      </c>
      <c r="C85" s="103" t="s">
        <v>214</v>
      </c>
      <c r="D85" s="104"/>
      <c r="E85" s="105"/>
      <c r="F85" s="106"/>
      <c r="G85" s="106"/>
      <c r="H85" s="106"/>
      <c r="I85" s="107"/>
      <c r="J85" s="108"/>
      <c r="K85" s="109"/>
      <c r="L85" s="36"/>
      <c r="M85" s="41"/>
    </row>
    <row r="86" spans="2:13">
      <c r="B86" s="87" t="s">
        <v>216</v>
      </c>
      <c r="C86" s="453" t="s">
        <v>3</v>
      </c>
      <c r="D86" s="453"/>
      <c r="E86" s="453"/>
      <c r="F86" s="453"/>
      <c r="G86" s="453"/>
      <c r="H86" s="453"/>
      <c r="I86" s="453"/>
      <c r="J86" s="453"/>
      <c r="K86" s="453"/>
      <c r="L86" s="36">
        <v>0</v>
      </c>
    </row>
    <row r="87" spans="2:13">
      <c r="B87" s="355" t="s">
        <v>219</v>
      </c>
      <c r="C87" s="356"/>
      <c r="D87" s="356"/>
      <c r="E87" s="356"/>
      <c r="F87" s="356"/>
      <c r="G87" s="356"/>
      <c r="H87" s="356"/>
      <c r="I87" s="356"/>
      <c r="J87" s="357"/>
      <c r="K87" s="121"/>
      <c r="L87" s="122" t="e">
        <f>SUM(L82:L86)</f>
        <v>#REF!</v>
      </c>
    </row>
    <row r="88" spans="2:13">
      <c r="B88" s="42"/>
      <c r="C88" s="42"/>
      <c r="D88" s="42"/>
      <c r="E88" s="42"/>
      <c r="F88" s="42"/>
      <c r="G88" s="42"/>
      <c r="H88" s="42"/>
      <c r="I88" s="89"/>
      <c r="J88" s="42"/>
      <c r="K88" s="42"/>
    </row>
    <row r="89" spans="2:13">
      <c r="B89" s="33"/>
      <c r="C89" s="33"/>
      <c r="D89" s="33"/>
      <c r="E89" s="33"/>
      <c r="F89" s="33"/>
      <c r="G89" s="33"/>
      <c r="H89" s="66"/>
      <c r="I89" s="66"/>
      <c r="J89" s="66"/>
      <c r="K89" s="66"/>
      <c r="L89" s="67"/>
    </row>
    <row r="90" spans="2:13">
      <c r="B90" s="409" t="s">
        <v>217</v>
      </c>
      <c r="C90" s="409"/>
      <c r="D90" s="409"/>
      <c r="E90" s="409"/>
      <c r="F90" s="409"/>
      <c r="G90" s="409"/>
      <c r="H90" s="409"/>
      <c r="I90" s="409"/>
      <c r="J90" s="409"/>
      <c r="K90" s="117"/>
      <c r="L90" s="118" t="str">
        <f>L5</f>
        <v>SERVENTE</v>
      </c>
    </row>
    <row r="91" spans="2:13">
      <c r="B91" s="87" t="s">
        <v>13</v>
      </c>
      <c r="C91" s="384" t="s">
        <v>218</v>
      </c>
      <c r="D91" s="384"/>
      <c r="E91" s="384"/>
      <c r="F91" s="384"/>
      <c r="G91" s="384"/>
      <c r="H91" s="384"/>
      <c r="I91" s="384"/>
      <c r="J91" s="384"/>
      <c r="K91" s="83">
        <v>0.05</v>
      </c>
      <c r="L91" s="45" t="e">
        <f>K91*L110</f>
        <v>#REF!</v>
      </c>
      <c r="M91" s="68"/>
    </row>
    <row r="92" spans="2:13">
      <c r="B92" s="87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3">
        <v>6.8099999999999994E-2</v>
      </c>
      <c r="L92" s="45" t="e">
        <f>K92*L110</f>
        <v>#REF!</v>
      </c>
      <c r="M92" s="68"/>
    </row>
    <row r="93" spans="2:13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 t="e">
        <f>L110+L91+L92</f>
        <v>#REF!</v>
      </c>
      <c r="K93" s="366"/>
      <c r="L93" s="65"/>
    </row>
    <row r="94" spans="2:13">
      <c r="B94" s="361"/>
      <c r="C94" s="447" t="s">
        <v>43</v>
      </c>
      <c r="D94" s="410"/>
      <c r="E94" s="410"/>
      <c r="F94" s="448"/>
      <c r="G94" s="88"/>
      <c r="H94" s="88" t="s">
        <v>44</v>
      </c>
      <c r="I94" s="88"/>
      <c r="J94" s="370"/>
      <c r="K94" s="371"/>
      <c r="L94" s="65"/>
    </row>
    <row r="95" spans="2:13">
      <c r="B95" s="361"/>
      <c r="C95" s="446" t="s">
        <v>45</v>
      </c>
      <c r="D95" s="446"/>
      <c r="E95" s="446"/>
      <c r="F95" s="446"/>
      <c r="G95" s="86" t="s">
        <v>46</v>
      </c>
      <c r="H95" s="53">
        <v>1.6500000000000001E-2</v>
      </c>
      <c r="I95" s="372">
        <f>SUM(H95:H100)</f>
        <v>0.13250000000000001</v>
      </c>
      <c r="J95" s="359" t="e">
        <f>ROUND($L$112*H95,2)</f>
        <v>#REF!</v>
      </c>
      <c r="K95" s="360"/>
      <c r="L95" s="423" t="e">
        <f>SUM(J95:K100)</f>
        <v>#REF!</v>
      </c>
    </row>
    <row r="96" spans="2:13">
      <c r="B96" s="361"/>
      <c r="C96" s="446"/>
      <c r="D96" s="446"/>
      <c r="E96" s="446"/>
      <c r="F96" s="446"/>
      <c r="G96" s="86" t="s">
        <v>47</v>
      </c>
      <c r="H96" s="53">
        <v>7.5999999999999998E-2</v>
      </c>
      <c r="I96" s="372"/>
      <c r="J96" s="359" t="e">
        <f t="shared" ref="J96:J100" si="3">ROUND($L$112*H96,2)</f>
        <v>#REF!</v>
      </c>
      <c r="K96" s="360"/>
      <c r="L96" s="424"/>
    </row>
    <row r="97" spans="2:12">
      <c r="B97" s="361"/>
      <c r="C97" s="446"/>
      <c r="D97" s="446"/>
      <c r="E97" s="446"/>
      <c r="F97" s="446"/>
      <c r="G97" s="86" t="s">
        <v>48</v>
      </c>
      <c r="H97" s="53">
        <v>0</v>
      </c>
      <c r="I97" s="372"/>
      <c r="J97" s="359" t="e">
        <f t="shared" si="3"/>
        <v>#REF!</v>
      </c>
      <c r="K97" s="360"/>
      <c r="L97" s="424"/>
    </row>
    <row r="98" spans="2:12">
      <c r="B98" s="361"/>
      <c r="C98" s="446" t="s">
        <v>49</v>
      </c>
      <c r="D98" s="446"/>
      <c r="E98" s="446"/>
      <c r="F98" s="446"/>
      <c r="G98" s="85" t="s">
        <v>50</v>
      </c>
      <c r="H98" s="53">
        <v>0.04</v>
      </c>
      <c r="I98" s="372"/>
      <c r="J98" s="359" t="e">
        <f t="shared" si="3"/>
        <v>#REF!</v>
      </c>
      <c r="K98" s="360"/>
      <c r="L98" s="424"/>
    </row>
    <row r="99" spans="2:12">
      <c r="B99" s="361"/>
      <c r="C99" s="446"/>
      <c r="D99" s="446"/>
      <c r="E99" s="446"/>
      <c r="F99" s="446"/>
      <c r="G99" s="85" t="s">
        <v>48</v>
      </c>
      <c r="H99" s="53">
        <v>0</v>
      </c>
      <c r="I99" s="372"/>
      <c r="J99" s="359" t="e">
        <f t="shared" si="3"/>
        <v>#REF!</v>
      </c>
      <c r="K99" s="360"/>
      <c r="L99" s="424"/>
    </row>
    <row r="100" spans="2:12">
      <c r="B100" s="361"/>
      <c r="C100" s="446" t="s">
        <v>51</v>
      </c>
      <c r="D100" s="446"/>
      <c r="E100" s="446"/>
      <c r="F100" s="446"/>
      <c r="G100" s="85"/>
      <c r="H100" s="53">
        <v>0</v>
      </c>
      <c r="I100" s="372"/>
      <c r="J100" s="359" t="e">
        <f t="shared" si="3"/>
        <v>#REF!</v>
      </c>
      <c r="K100" s="360"/>
      <c r="L100" s="425"/>
    </row>
    <row r="101" spans="2:12">
      <c r="B101" s="361" t="s">
        <v>52</v>
      </c>
      <c r="C101" s="361"/>
      <c r="D101" s="361"/>
      <c r="E101" s="361"/>
      <c r="F101" s="361"/>
      <c r="G101" s="361"/>
      <c r="H101" s="361"/>
      <c r="I101" s="361"/>
      <c r="J101" s="361"/>
      <c r="K101" s="361"/>
      <c r="L101" s="78" t="e">
        <f>L95+L92+L91</f>
        <v>#REF!</v>
      </c>
    </row>
    <row r="102" spans="2:12">
      <c r="B102" s="69"/>
      <c r="C102" s="69"/>
      <c r="D102" s="69"/>
      <c r="E102" s="69"/>
      <c r="F102" s="69"/>
      <c r="G102" s="69"/>
      <c r="H102" s="69"/>
      <c r="I102" s="70"/>
      <c r="J102" s="71"/>
      <c r="K102" s="69"/>
    </row>
    <row r="103" spans="2:12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2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4" t="str">
        <f>L5</f>
        <v>SERVENTE</v>
      </c>
    </row>
    <row r="105" spans="2:12">
      <c r="B105" s="87" t="s">
        <v>13</v>
      </c>
      <c r="C105" s="384" t="str">
        <f>B6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2">
        <f>L17</f>
        <v>0</v>
      </c>
    </row>
    <row r="106" spans="2:12">
      <c r="B106" s="87" t="s">
        <v>15</v>
      </c>
      <c r="C106" s="384" t="str">
        <f>B19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2" t="e">
        <f>L51</f>
        <v>#REF!</v>
      </c>
    </row>
    <row r="107" spans="2:12">
      <c r="B107" s="87" t="s">
        <v>19</v>
      </c>
      <c r="C107" s="384" t="str">
        <f>B53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2">
        <f>L60</f>
        <v>0</v>
      </c>
    </row>
    <row r="108" spans="2:12">
      <c r="B108" s="87" t="s">
        <v>21</v>
      </c>
      <c r="C108" s="384" t="str">
        <f>B62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2">
        <f>L79</f>
        <v>0</v>
      </c>
    </row>
    <row r="109" spans="2:12">
      <c r="B109" s="110" t="s">
        <v>23</v>
      </c>
      <c r="C109" s="384" t="str">
        <f>B81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2" t="e">
        <f>L87</f>
        <v>#REF!</v>
      </c>
    </row>
    <row r="110" spans="2:12">
      <c r="B110" s="395" t="s">
        <v>221</v>
      </c>
      <c r="C110" s="395"/>
      <c r="D110" s="395"/>
      <c r="E110" s="395"/>
      <c r="F110" s="395"/>
      <c r="G110" s="395"/>
      <c r="H110" s="395"/>
      <c r="I110" s="395"/>
      <c r="J110" s="395"/>
      <c r="K110" s="395"/>
      <c r="L110" s="79" t="e">
        <f>SUM(L105:L109)</f>
        <v>#REF!</v>
      </c>
    </row>
    <row r="111" spans="2:12">
      <c r="B111" s="87" t="s">
        <v>23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3" t="e">
        <f>L112-L110</f>
        <v>#REF!</v>
      </c>
    </row>
    <row r="112" spans="2:12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80" t="e">
        <f>ROUND(J93/(1-$I$95),2)</f>
        <v>#REF!</v>
      </c>
    </row>
    <row r="113" spans="6:12">
      <c r="K113" s="68"/>
    </row>
    <row r="115" spans="6:12">
      <c r="F115" s="390" t="s">
        <v>57</v>
      </c>
      <c r="G115" s="391"/>
      <c r="H115" s="391"/>
      <c r="I115" s="392"/>
      <c r="J115" s="18"/>
      <c r="L115" s="18"/>
    </row>
    <row r="116" spans="6:12">
      <c r="F116" s="390" t="s">
        <v>58</v>
      </c>
      <c r="G116" s="391"/>
      <c r="H116" s="392"/>
      <c r="I116" s="74" t="s">
        <v>18</v>
      </c>
      <c r="J116" s="18"/>
      <c r="L116" s="18"/>
    </row>
    <row r="117" spans="6:12">
      <c r="F117" s="75" t="s">
        <v>59</v>
      </c>
      <c r="G117" s="75"/>
      <c r="H117" s="76"/>
      <c r="I117" s="76">
        <f>K91</f>
        <v>0.05</v>
      </c>
      <c r="J117" s="18"/>
      <c r="L117" s="18"/>
    </row>
    <row r="118" spans="6:12">
      <c r="F118" s="378" t="s">
        <v>41</v>
      </c>
      <c r="G118" s="379"/>
      <c r="H118" s="380"/>
      <c r="I118" s="76">
        <f>K92</f>
        <v>6.8099999999999994E-2</v>
      </c>
      <c r="J118" s="18"/>
      <c r="L118" s="18"/>
    </row>
    <row r="119" spans="6:12">
      <c r="F119" s="75" t="s">
        <v>60</v>
      </c>
      <c r="G119" s="75"/>
      <c r="H119" s="76"/>
      <c r="I119" s="76">
        <f>I95</f>
        <v>0.13250000000000001</v>
      </c>
      <c r="J119" s="18"/>
      <c r="L119" s="18"/>
    </row>
    <row r="120" spans="6:12">
      <c r="F120" s="381" t="s">
        <v>61</v>
      </c>
      <c r="G120" s="382"/>
      <c r="H120" s="383"/>
      <c r="I120" s="76">
        <f>(1+I117)*(1+I118)/(1-I119)-1</f>
        <v>0.29280115273775253</v>
      </c>
      <c r="J120" s="18"/>
      <c r="L120" s="18"/>
    </row>
  </sheetData>
  <mergeCells count="126"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</mergeCells>
  <pageMargins left="0.511811024" right="0.511811024" top="0.78740157499999996" bottom="0.78740157499999996" header="0.31496062000000002" footer="0.31496062000000002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70"/>
  <sheetViews>
    <sheetView showGridLines="0" topLeftCell="A41" zoomScaleNormal="100" zoomScaleSheetLayoutView="100" workbookViewId="0">
      <selection activeCell="D1" sqref="B1:H70"/>
    </sheetView>
  </sheetViews>
  <sheetFormatPr defaultRowHeight="15"/>
  <cols>
    <col min="1" max="1" width="9.140625" style="4"/>
    <col min="2" max="2" width="16.42578125" style="4" customWidth="1"/>
    <col min="3" max="3" width="15.7109375" style="4" customWidth="1"/>
    <col min="4" max="4" width="10.140625" style="4" customWidth="1"/>
    <col min="5" max="5" width="20.85546875" style="4" customWidth="1"/>
    <col min="6" max="6" width="14.42578125" style="4" customWidth="1"/>
    <col min="7" max="7" width="19.5703125" style="4" customWidth="1"/>
    <col min="8" max="8" width="20.42578125" style="4" customWidth="1"/>
    <col min="9" max="9" width="14.28515625" style="4" customWidth="1"/>
    <col min="10" max="16384" width="9.140625" style="4"/>
  </cols>
  <sheetData>
    <row r="2" spans="2:9">
      <c r="B2" s="281" t="s">
        <v>4</v>
      </c>
      <c r="C2" s="282"/>
      <c r="D2" s="282"/>
      <c r="E2" s="282"/>
      <c r="F2" s="282"/>
      <c r="G2" s="282"/>
      <c r="H2" s="283"/>
    </row>
    <row r="3" spans="2:9">
      <c r="B3" s="316" t="s">
        <v>5</v>
      </c>
      <c r="C3" s="317"/>
      <c r="D3" s="318">
        <v>43466</v>
      </c>
      <c r="E3" s="318"/>
      <c r="F3" s="318"/>
      <c r="G3" s="318"/>
      <c r="H3" s="319"/>
    </row>
    <row r="4" spans="2:9">
      <c r="B4" s="316" t="s">
        <v>2</v>
      </c>
      <c r="C4" s="317"/>
      <c r="D4" s="318" t="s">
        <v>237</v>
      </c>
      <c r="E4" s="318"/>
      <c r="F4" s="318"/>
      <c r="G4" s="318"/>
      <c r="H4" s="319"/>
    </row>
    <row r="5" spans="2:9">
      <c r="B5" s="316" t="s">
        <v>0</v>
      </c>
      <c r="C5" s="317"/>
      <c r="D5" s="318" t="s">
        <v>238</v>
      </c>
      <c r="E5" s="318"/>
      <c r="F5" s="318"/>
      <c r="G5" s="318"/>
      <c r="H5" s="319"/>
    </row>
    <row r="6" spans="2:9">
      <c r="B6" s="307" t="s">
        <v>1</v>
      </c>
      <c r="C6" s="308"/>
      <c r="D6" s="320" t="s">
        <v>239</v>
      </c>
      <c r="E6" s="320"/>
      <c r="F6" s="320"/>
      <c r="G6" s="320"/>
      <c r="H6" s="321"/>
    </row>
    <row r="8" spans="2:9">
      <c r="B8" s="281" t="s">
        <v>303</v>
      </c>
      <c r="C8" s="282"/>
      <c r="D8" s="282"/>
      <c r="E8" s="282"/>
      <c r="F8" s="282"/>
      <c r="G8" s="282"/>
      <c r="H8" s="283"/>
    </row>
    <row r="9" spans="2:9">
      <c r="B9" s="8"/>
      <c r="C9" s="9"/>
      <c r="D9" s="9"/>
      <c r="E9" s="9"/>
      <c r="F9" s="9"/>
      <c r="G9" s="9"/>
      <c r="H9" s="10"/>
    </row>
    <row r="10" spans="2:9">
      <c r="B10" s="11" t="s">
        <v>300</v>
      </c>
      <c r="C10" s="6"/>
      <c r="D10" s="12"/>
      <c r="E10" s="17">
        <v>1547.12</v>
      </c>
      <c r="F10" s="190"/>
      <c r="G10" s="190"/>
      <c r="H10" s="210"/>
    </row>
    <row r="11" spans="2:9">
      <c r="B11" s="307"/>
      <c r="C11" s="308"/>
      <c r="D11" s="308"/>
      <c r="E11" s="213"/>
      <c r="F11" s="211"/>
      <c r="G11" s="211"/>
      <c r="H11" s="212"/>
    </row>
    <row r="13" spans="2:9">
      <c r="B13" s="281" t="s">
        <v>301</v>
      </c>
      <c r="C13" s="282"/>
      <c r="D13" s="282"/>
      <c r="E13" s="282"/>
      <c r="F13" s="282"/>
      <c r="G13" s="282"/>
      <c r="H13" s="283"/>
    </row>
    <row r="14" spans="2:9">
      <c r="B14" s="8" t="s">
        <v>228</v>
      </c>
      <c r="C14" s="9"/>
      <c r="D14" s="9"/>
      <c r="E14" s="9"/>
      <c r="F14" s="9"/>
      <c r="G14" s="9"/>
      <c r="H14" s="10"/>
    </row>
    <row r="15" spans="2:9">
      <c r="B15" s="147" t="s">
        <v>7</v>
      </c>
      <c r="C15" s="309">
        <v>24.4</v>
      </c>
      <c r="D15" s="309"/>
      <c r="E15" s="6"/>
      <c r="F15" s="264" t="s">
        <v>8</v>
      </c>
      <c r="G15" s="264"/>
      <c r="H15" s="257">
        <v>15</v>
      </c>
    </row>
    <row r="16" spans="2:9">
      <c r="B16" s="147" t="s">
        <v>287</v>
      </c>
      <c r="C16" s="310">
        <v>0.18</v>
      </c>
      <c r="D16" s="310"/>
      <c r="E16" s="14">
        <f>C15*C16</f>
        <v>4.3919999999999995</v>
      </c>
      <c r="F16" s="6"/>
      <c r="G16" s="6"/>
      <c r="H16" s="7"/>
      <c r="I16" s="15"/>
    </row>
    <row r="17" spans="2:10">
      <c r="B17" s="147" t="s">
        <v>9</v>
      </c>
      <c r="C17" s="309">
        <f>C15-E16</f>
        <v>20.007999999999999</v>
      </c>
      <c r="D17" s="309"/>
      <c r="E17" s="13"/>
      <c r="F17" s="277" t="s">
        <v>10</v>
      </c>
      <c r="G17" s="277"/>
      <c r="H17" s="154">
        <f>C17*H15</f>
        <v>300.12</v>
      </c>
      <c r="I17" s="15"/>
      <c r="J17" s="15"/>
    </row>
    <row r="18" spans="2:10" hidden="1"/>
    <row r="19" spans="2:10" hidden="1">
      <c r="B19" s="281" t="s">
        <v>250</v>
      </c>
      <c r="C19" s="282"/>
      <c r="D19" s="282"/>
      <c r="E19" s="282"/>
      <c r="F19" s="282"/>
      <c r="G19" s="282"/>
      <c r="H19" s="283"/>
    </row>
    <row r="20" spans="2:10" hidden="1">
      <c r="B20" s="5"/>
      <c r="C20" s="6"/>
      <c r="D20" s="6"/>
      <c r="E20" s="6" t="s">
        <v>227</v>
      </c>
      <c r="F20" s="6"/>
      <c r="G20" s="6"/>
      <c r="H20" s="7"/>
      <c r="I20" s="15"/>
    </row>
    <row r="21" spans="2:10" hidden="1">
      <c r="B21" s="284" t="s">
        <v>224</v>
      </c>
      <c r="C21" s="285"/>
      <c r="D21" s="153">
        <v>0</v>
      </c>
      <c r="E21" s="136"/>
      <c r="F21" s="136"/>
      <c r="G21" s="136"/>
      <c r="H21" s="137"/>
    </row>
    <row r="22" spans="2:10">
      <c r="B22" s="208"/>
      <c r="C22" s="208"/>
      <c r="D22" s="209"/>
      <c r="E22" s="209"/>
      <c r="F22" s="208"/>
      <c r="G22" s="208"/>
      <c r="H22" s="208"/>
    </row>
    <row r="23" spans="2:10">
      <c r="B23" s="288" t="s">
        <v>333</v>
      </c>
      <c r="C23" s="289"/>
      <c r="D23" s="289"/>
      <c r="E23" s="289"/>
      <c r="F23" s="289"/>
      <c r="G23" s="289"/>
      <c r="H23" s="290"/>
    </row>
    <row r="24" spans="2:10">
      <c r="B24" s="232" t="s">
        <v>251</v>
      </c>
      <c r="C24" s="233">
        <v>142.13999999999999</v>
      </c>
      <c r="D24" s="231"/>
      <c r="E24" s="234" t="s">
        <v>287</v>
      </c>
      <c r="F24" s="235">
        <v>0.05</v>
      </c>
      <c r="G24" s="236" t="s">
        <v>252</v>
      </c>
      <c r="H24" s="237">
        <f>C24-F25</f>
        <v>135.03299999999999</v>
      </c>
    </row>
    <row r="25" spans="2:10">
      <c r="B25" s="16"/>
      <c r="C25" s="13"/>
      <c r="D25" s="187"/>
      <c r="E25" s="187"/>
      <c r="F25" s="189">
        <f>F24*C24</f>
        <v>7.1069999999999993</v>
      </c>
      <c r="G25" s="13"/>
      <c r="H25" s="188"/>
    </row>
    <row r="26" spans="2:10">
      <c r="D26" s="140"/>
      <c r="E26" s="140"/>
    </row>
    <row r="27" spans="2:10">
      <c r="B27" s="281" t="s">
        <v>291</v>
      </c>
      <c r="C27" s="282"/>
      <c r="D27" s="282"/>
      <c r="E27" s="282"/>
      <c r="F27" s="282"/>
      <c r="G27" s="282"/>
      <c r="H27" s="283"/>
    </row>
    <row r="28" spans="2:10" ht="31.5" customHeight="1">
      <c r="B28" s="1" t="s">
        <v>63</v>
      </c>
      <c r="C28" s="1" t="s">
        <v>257</v>
      </c>
      <c r="D28" s="2" t="s">
        <v>253</v>
      </c>
      <c r="E28" s="2" t="s">
        <v>254</v>
      </c>
      <c r="F28" s="2" t="s">
        <v>255</v>
      </c>
      <c r="G28" s="279" t="s">
        <v>256</v>
      </c>
      <c r="H28" s="280"/>
    </row>
    <row r="29" spans="2:10">
      <c r="B29" s="3">
        <f>E10</f>
        <v>1547.12</v>
      </c>
      <c r="C29" s="3">
        <f>B29*0.06</f>
        <v>92.827199999999991</v>
      </c>
      <c r="D29" s="151">
        <v>2</v>
      </c>
      <c r="E29" s="217">
        <v>15</v>
      </c>
      <c r="F29" s="152">
        <v>3.8</v>
      </c>
      <c r="G29" s="287">
        <f>(D29*E29*F29)-C29</f>
        <v>21.172800000000009</v>
      </c>
      <c r="H29" s="287"/>
    </row>
    <row r="30" spans="2:10">
      <c r="B30" s="169"/>
      <c r="C30" s="169"/>
      <c r="D30" s="170"/>
      <c r="E30" s="173"/>
      <c r="F30" s="171"/>
      <c r="G30" s="172"/>
      <c r="H30" s="172"/>
    </row>
    <row r="31" spans="2:10">
      <c r="B31" s="286" t="s">
        <v>345</v>
      </c>
      <c r="C31" s="286"/>
      <c r="D31" s="286"/>
      <c r="E31" s="286"/>
      <c r="F31" s="286"/>
      <c r="G31" s="286"/>
      <c r="H31" s="286"/>
    </row>
    <row r="32" spans="2:10" ht="15.75" thickBot="1">
      <c r="B32" s="296" t="s">
        <v>341</v>
      </c>
      <c r="C32" s="297"/>
      <c r="D32" s="297"/>
      <c r="E32" s="297"/>
      <c r="F32" s="297"/>
      <c r="G32" s="297"/>
      <c r="H32" s="298"/>
    </row>
    <row r="33" spans="2:10" ht="15" customHeight="1">
      <c r="B33" s="291" t="s">
        <v>343</v>
      </c>
      <c r="C33" s="292"/>
      <c r="D33" s="293"/>
      <c r="E33" s="244" t="s">
        <v>350</v>
      </c>
      <c r="F33" s="249">
        <f>('VIG. DIURNO'!L13+'VIG. DIURNO'!L15+'VIG. DIURNO'!L18)/220</f>
        <v>9.4936909090909101</v>
      </c>
      <c r="G33" s="242" t="s">
        <v>351</v>
      </c>
      <c r="H33" s="243">
        <v>0.6</v>
      </c>
      <c r="J33" s="250"/>
    </row>
    <row r="34" spans="2:10" ht="30">
      <c r="B34" s="294" t="s">
        <v>342</v>
      </c>
      <c r="C34" s="264"/>
      <c r="D34" s="295"/>
      <c r="E34" s="248" t="s">
        <v>347</v>
      </c>
      <c r="F34" s="152" t="s">
        <v>352</v>
      </c>
      <c r="G34" s="248" t="s">
        <v>348</v>
      </c>
      <c r="H34" s="242" t="s">
        <v>353</v>
      </c>
    </row>
    <row r="35" spans="2:10">
      <c r="B35" s="305" t="s">
        <v>344</v>
      </c>
      <c r="C35" s="263"/>
      <c r="D35" s="306"/>
      <c r="E35" s="299" t="s">
        <v>355</v>
      </c>
      <c r="F35" s="300"/>
      <c r="G35" s="302">
        <f>F33*H33</f>
        <v>5.6962145454545459</v>
      </c>
      <c r="H35" s="303"/>
    </row>
    <row r="36" spans="2:10">
      <c r="B36" s="305"/>
      <c r="C36" s="263"/>
      <c r="D36" s="306"/>
      <c r="E36" s="301" t="s">
        <v>356</v>
      </c>
      <c r="F36" s="299"/>
      <c r="G36" s="304">
        <f>F33+G35</f>
        <v>15.189905454545457</v>
      </c>
      <c r="H36" s="304"/>
      <c r="I36" s="15"/>
    </row>
    <row r="37" spans="2:10" ht="15" hidden="1" customHeight="1">
      <c r="B37" s="286" t="s">
        <v>262</v>
      </c>
      <c r="C37" s="286"/>
      <c r="D37" s="286"/>
      <c r="E37" s="286"/>
      <c r="F37" s="286"/>
      <c r="G37" s="286"/>
      <c r="H37" s="286"/>
    </row>
    <row r="38" spans="2:10" ht="15" hidden="1" customHeight="1">
      <c r="B38" s="147" t="s">
        <v>261</v>
      </c>
      <c r="C38" s="147"/>
      <c r="D38" s="264" t="s">
        <v>258</v>
      </c>
      <c r="E38" s="264"/>
      <c r="F38" s="242"/>
      <c r="G38" s="263" t="s">
        <v>259</v>
      </c>
      <c r="H38" s="263"/>
    </row>
    <row r="39" spans="2:10" hidden="1">
      <c r="B39" s="262" t="s">
        <v>260</v>
      </c>
      <c r="C39" s="262"/>
      <c r="D39" s="251">
        <v>0</v>
      </c>
      <c r="E39" s="154">
        <f>D39/12</f>
        <v>0</v>
      </c>
      <c r="F39" s="147"/>
      <c r="G39" s="263"/>
      <c r="H39" s="263"/>
    </row>
    <row r="40" spans="2:10" ht="22.5" customHeight="1">
      <c r="B40" s="270" t="s">
        <v>349</v>
      </c>
      <c r="C40" s="271"/>
      <c r="D40" s="272"/>
      <c r="E40" s="276" t="s">
        <v>354</v>
      </c>
      <c r="F40" s="277"/>
      <c r="G40" s="254">
        <f>G36*5.33</f>
        <v>80.962196072727281</v>
      </c>
      <c r="H40" s="252"/>
    </row>
    <row r="41" spans="2:10" ht="22.5" customHeight="1" thickBot="1">
      <c r="B41" s="273"/>
      <c r="C41" s="274"/>
      <c r="D41" s="275"/>
      <c r="E41" s="278" t="s">
        <v>346</v>
      </c>
      <c r="F41" s="276"/>
      <c r="G41" s="255">
        <f>G36*3.33</f>
        <v>50.582385163636374</v>
      </c>
      <c r="H41" s="253"/>
    </row>
    <row r="42" spans="2:10" ht="15.75" thickBot="1">
      <c r="B42" s="245"/>
      <c r="C42" s="245"/>
      <c r="D42" s="14"/>
      <c r="E42" s="246"/>
      <c r="F42" s="6"/>
      <c r="G42" s="247"/>
      <c r="H42" s="247"/>
    </row>
    <row r="43" spans="2:10" ht="15" customHeight="1" thickBot="1">
      <c r="B43" s="265" t="s">
        <v>270</v>
      </c>
      <c r="C43" s="266"/>
      <c r="D43" s="266"/>
      <c r="E43" s="266"/>
      <c r="F43" s="266"/>
      <c r="G43" s="266"/>
      <c r="H43" s="267"/>
    </row>
    <row r="44" spans="2:10" ht="25.5">
      <c r="B44" s="268" t="s">
        <v>64</v>
      </c>
      <c r="C44" s="269"/>
      <c r="D44" s="269"/>
      <c r="E44" s="221" t="s">
        <v>65</v>
      </c>
      <c r="F44" s="222" t="s">
        <v>322</v>
      </c>
      <c r="G44" s="223" t="s">
        <v>334</v>
      </c>
      <c r="H44" s="179" t="s">
        <v>336</v>
      </c>
    </row>
    <row r="45" spans="2:10">
      <c r="B45" s="259" t="s">
        <v>294</v>
      </c>
      <c r="C45" s="260"/>
      <c r="D45" s="261"/>
      <c r="E45" s="226">
        <v>67.540000000000006</v>
      </c>
      <c r="F45" s="224">
        <v>12</v>
      </c>
      <c r="G45" s="225">
        <v>3</v>
      </c>
      <c r="H45" s="180">
        <f>E45/F45*G45</f>
        <v>16.885000000000002</v>
      </c>
    </row>
    <row r="46" spans="2:10" ht="29.25" customHeight="1">
      <c r="B46" s="259" t="s">
        <v>305</v>
      </c>
      <c r="C46" s="260"/>
      <c r="D46" s="261"/>
      <c r="E46" s="226">
        <v>67.67</v>
      </c>
      <c r="F46" s="224">
        <v>12</v>
      </c>
      <c r="G46" s="225">
        <v>3</v>
      </c>
      <c r="H46" s="180">
        <f>E46/F46*G46</f>
        <v>16.9175</v>
      </c>
    </row>
    <row r="47" spans="2:10" ht="30.75" customHeight="1">
      <c r="B47" s="259" t="s">
        <v>306</v>
      </c>
      <c r="C47" s="260"/>
      <c r="D47" s="261"/>
      <c r="E47" s="226">
        <v>61.19</v>
      </c>
      <c r="F47" s="224">
        <v>12</v>
      </c>
      <c r="G47" s="225">
        <v>1</v>
      </c>
      <c r="H47" s="180">
        <f t="shared" ref="H47:H53" si="0">E47/F47*G47</f>
        <v>5.0991666666666662</v>
      </c>
    </row>
    <row r="48" spans="2:10">
      <c r="B48" s="259" t="s">
        <v>307</v>
      </c>
      <c r="C48" s="260"/>
      <c r="D48" s="261"/>
      <c r="E48" s="226">
        <v>17.260000000000002</v>
      </c>
      <c r="F48" s="224">
        <v>12</v>
      </c>
      <c r="G48" s="225">
        <v>1</v>
      </c>
      <c r="H48" s="180">
        <f t="shared" si="0"/>
        <v>1.4383333333333335</v>
      </c>
    </row>
    <row r="49" spans="2:8">
      <c r="B49" s="311" t="s">
        <v>323</v>
      </c>
      <c r="C49" s="312"/>
      <c r="D49" s="313"/>
      <c r="E49" s="226">
        <v>117.38</v>
      </c>
      <c r="F49" s="224">
        <v>12</v>
      </c>
      <c r="G49" s="225">
        <v>2</v>
      </c>
      <c r="H49" s="180">
        <f t="shared" si="0"/>
        <v>19.563333333333333</v>
      </c>
    </row>
    <row r="50" spans="2:8">
      <c r="B50" s="259" t="s">
        <v>326</v>
      </c>
      <c r="C50" s="260"/>
      <c r="D50" s="261"/>
      <c r="E50" s="226">
        <v>9.23</v>
      </c>
      <c r="F50" s="224">
        <v>12</v>
      </c>
      <c r="G50" s="225">
        <v>6</v>
      </c>
      <c r="H50" s="180">
        <f t="shared" si="0"/>
        <v>4.6150000000000002</v>
      </c>
    </row>
    <row r="51" spans="2:8">
      <c r="B51" s="259" t="s">
        <v>308</v>
      </c>
      <c r="C51" s="260"/>
      <c r="D51" s="261"/>
      <c r="E51" s="226">
        <v>13</v>
      </c>
      <c r="F51" s="224">
        <v>12</v>
      </c>
      <c r="G51" s="225">
        <v>3</v>
      </c>
      <c r="H51" s="180">
        <f t="shared" si="0"/>
        <v>3.25</v>
      </c>
    </row>
    <row r="52" spans="2:8" ht="30" customHeight="1">
      <c r="B52" s="322" t="s">
        <v>309</v>
      </c>
      <c r="C52" s="323"/>
      <c r="D52" s="323"/>
      <c r="E52" s="226">
        <v>122.16</v>
      </c>
      <c r="F52" s="224">
        <v>12</v>
      </c>
      <c r="G52" s="225">
        <v>2</v>
      </c>
      <c r="H52" s="180">
        <f t="shared" si="0"/>
        <v>20.36</v>
      </c>
    </row>
    <row r="53" spans="2:8">
      <c r="B53" s="322" t="s">
        <v>269</v>
      </c>
      <c r="C53" s="323"/>
      <c r="D53" s="323"/>
      <c r="E53" s="226">
        <v>12.35</v>
      </c>
      <c r="F53" s="224">
        <v>12</v>
      </c>
      <c r="G53" s="225">
        <v>1</v>
      </c>
      <c r="H53" s="180">
        <f t="shared" si="0"/>
        <v>1.0291666666666666</v>
      </c>
    </row>
    <row r="54" spans="2:8">
      <c r="B54" s="331" t="s">
        <v>337</v>
      </c>
      <c r="C54" s="332"/>
      <c r="D54" s="332"/>
      <c r="E54" s="332"/>
      <c r="F54" s="332"/>
      <c r="G54" s="333"/>
      <c r="H54" s="181">
        <f>SUM(H45:H53)</f>
        <v>89.157499999999999</v>
      </c>
    </row>
    <row r="55" spans="2:8" ht="15.75" thickBot="1">
      <c r="B55" s="314" t="s">
        <v>328</v>
      </c>
      <c r="C55" s="315"/>
      <c r="D55" s="315"/>
      <c r="E55" s="315"/>
      <c r="F55" s="315"/>
      <c r="G55" s="315"/>
      <c r="H55" s="182">
        <f>H54/4</f>
        <v>22.289375</v>
      </c>
    </row>
    <row r="56" spans="2:8" ht="15.75" thickBot="1"/>
    <row r="57" spans="2:8" ht="15.75" thickBot="1">
      <c r="B57" s="326" t="s">
        <v>316</v>
      </c>
      <c r="C57" s="327"/>
      <c r="D57" s="327"/>
      <c r="E57" s="327"/>
      <c r="F57" s="327"/>
      <c r="G57" s="327"/>
      <c r="H57" s="328"/>
    </row>
    <row r="58" spans="2:8" ht="25.5">
      <c r="B58" s="329" t="s">
        <v>64</v>
      </c>
      <c r="C58" s="330"/>
      <c r="D58" s="330"/>
      <c r="E58" s="238" t="s">
        <v>65</v>
      </c>
      <c r="F58" s="239" t="s">
        <v>322</v>
      </c>
      <c r="G58" s="240" t="s">
        <v>335</v>
      </c>
      <c r="H58" s="241" t="s">
        <v>336</v>
      </c>
    </row>
    <row r="59" spans="2:8">
      <c r="B59" s="322" t="s">
        <v>311</v>
      </c>
      <c r="C59" s="323"/>
      <c r="D59" s="323"/>
      <c r="E59" s="227">
        <v>32.880000000000003</v>
      </c>
      <c r="F59" s="219">
        <v>36</v>
      </c>
      <c r="G59" s="183">
        <v>1</v>
      </c>
      <c r="H59" s="230">
        <f>E59/F59*G59</f>
        <v>0.91333333333333344</v>
      </c>
    </row>
    <row r="60" spans="2:8">
      <c r="B60" s="322" t="s">
        <v>312</v>
      </c>
      <c r="C60" s="323"/>
      <c r="D60" s="323"/>
      <c r="E60" s="227">
        <v>13.67</v>
      </c>
      <c r="F60" s="219">
        <v>12</v>
      </c>
      <c r="G60" s="183">
        <v>4</v>
      </c>
      <c r="H60" s="230">
        <f>E60/F60*G60</f>
        <v>4.5566666666666666</v>
      </c>
    </row>
    <row r="61" spans="2:8">
      <c r="B61" s="322" t="s">
        <v>324</v>
      </c>
      <c r="C61" s="323"/>
      <c r="D61" s="323"/>
      <c r="E61" s="227">
        <v>38.64</v>
      </c>
      <c r="F61" s="219">
        <v>12</v>
      </c>
      <c r="G61" s="183">
        <v>4</v>
      </c>
      <c r="H61" s="230">
        <f t="shared" ref="H61:H68" si="1">E61/F61*G61</f>
        <v>12.88</v>
      </c>
    </row>
    <row r="62" spans="2:8">
      <c r="B62" s="259" t="s">
        <v>313</v>
      </c>
      <c r="C62" s="260"/>
      <c r="D62" s="261"/>
      <c r="E62" s="227">
        <v>543.92999999999995</v>
      </c>
      <c r="F62" s="219">
        <v>12</v>
      </c>
      <c r="G62" s="183">
        <v>2</v>
      </c>
      <c r="H62" s="230">
        <f t="shared" si="1"/>
        <v>90.654999999999987</v>
      </c>
    </row>
    <row r="63" spans="2:8">
      <c r="B63" s="259" t="s">
        <v>314</v>
      </c>
      <c r="C63" s="260"/>
      <c r="D63" s="261"/>
      <c r="E63" s="227">
        <v>587.37</v>
      </c>
      <c r="F63" s="219">
        <v>60</v>
      </c>
      <c r="G63" s="183">
        <v>1</v>
      </c>
      <c r="H63" s="230">
        <f t="shared" si="1"/>
        <v>9.7895000000000003</v>
      </c>
    </row>
    <row r="64" spans="2:8" ht="29.25" customHeight="1">
      <c r="B64" s="259" t="s">
        <v>325</v>
      </c>
      <c r="C64" s="260"/>
      <c r="D64" s="261"/>
      <c r="E64" s="227">
        <v>1850</v>
      </c>
      <c r="F64" s="219">
        <v>12</v>
      </c>
      <c r="G64" s="183">
        <v>1</v>
      </c>
      <c r="H64" s="230">
        <f t="shared" si="1"/>
        <v>154.16666666666666</v>
      </c>
    </row>
    <row r="65" spans="2:8">
      <c r="B65" s="324" t="s">
        <v>315</v>
      </c>
      <c r="C65" s="325"/>
      <c r="D65" s="325"/>
      <c r="E65" s="228">
        <v>38.57</v>
      </c>
      <c r="F65" s="220">
        <v>24</v>
      </c>
      <c r="G65" s="184">
        <v>1</v>
      </c>
      <c r="H65" s="230">
        <f t="shared" si="1"/>
        <v>1.6070833333333334</v>
      </c>
    </row>
    <row r="66" spans="2:8">
      <c r="B66" s="322" t="s">
        <v>304</v>
      </c>
      <c r="C66" s="323"/>
      <c r="D66" s="323"/>
      <c r="E66" s="229">
        <v>10.6</v>
      </c>
      <c r="F66" s="219">
        <v>60</v>
      </c>
      <c r="G66" s="183">
        <v>4</v>
      </c>
      <c r="H66" s="230">
        <f t="shared" si="1"/>
        <v>0.70666666666666667</v>
      </c>
    </row>
    <row r="67" spans="2:8">
      <c r="B67" s="322" t="s">
        <v>327</v>
      </c>
      <c r="C67" s="323"/>
      <c r="D67" s="323"/>
      <c r="E67" s="195">
        <v>45.06</v>
      </c>
      <c r="F67" s="218">
        <v>60</v>
      </c>
      <c r="G67" s="183">
        <v>1</v>
      </c>
      <c r="H67" s="230">
        <f t="shared" si="1"/>
        <v>0.751</v>
      </c>
    </row>
    <row r="68" spans="2:8">
      <c r="B68" s="322" t="s">
        <v>310</v>
      </c>
      <c r="C68" s="323"/>
      <c r="D68" s="323"/>
      <c r="E68" s="195">
        <v>17.829999999999998</v>
      </c>
      <c r="F68" s="218">
        <v>60</v>
      </c>
      <c r="G68" s="183">
        <v>4</v>
      </c>
      <c r="H68" s="230">
        <f t="shared" si="1"/>
        <v>1.1886666666666665</v>
      </c>
    </row>
    <row r="69" spans="2:8">
      <c r="B69" s="334" t="s">
        <v>338</v>
      </c>
      <c r="C69" s="335"/>
      <c r="D69" s="335"/>
      <c r="E69" s="335"/>
      <c r="F69" s="335"/>
      <c r="G69" s="335"/>
      <c r="H69" s="185">
        <f>SUM(H59:H68)</f>
        <v>277.21458333333328</v>
      </c>
    </row>
    <row r="70" spans="2:8" ht="15.75" thickBot="1">
      <c r="B70" s="314" t="s">
        <v>328</v>
      </c>
      <c r="C70" s="315"/>
      <c r="D70" s="315"/>
      <c r="E70" s="315"/>
      <c r="F70" s="315"/>
      <c r="G70" s="315"/>
      <c r="H70" s="186">
        <f>H69/4</f>
        <v>69.30364583333332</v>
      </c>
    </row>
  </sheetData>
  <mergeCells count="66">
    <mergeCell ref="B69:G69"/>
    <mergeCell ref="B70:G70"/>
    <mergeCell ref="B66:D66"/>
    <mergeCell ref="B67:D67"/>
    <mergeCell ref="B68:D68"/>
    <mergeCell ref="B60:D60"/>
    <mergeCell ref="B61:D61"/>
    <mergeCell ref="B65:D65"/>
    <mergeCell ref="B48:D48"/>
    <mergeCell ref="B50:D50"/>
    <mergeCell ref="B62:D62"/>
    <mergeCell ref="B63:D63"/>
    <mergeCell ref="B64:D64"/>
    <mergeCell ref="B57:H57"/>
    <mergeCell ref="B58:D58"/>
    <mergeCell ref="B59:D59"/>
    <mergeCell ref="B54:G54"/>
    <mergeCell ref="B52:D52"/>
    <mergeCell ref="B53:D53"/>
    <mergeCell ref="B47:D47"/>
    <mergeCell ref="B49:D49"/>
    <mergeCell ref="B55:G55"/>
    <mergeCell ref="B51:D51"/>
    <mergeCell ref="B2:H2"/>
    <mergeCell ref="B5:C5"/>
    <mergeCell ref="B6:C6"/>
    <mergeCell ref="D3:H3"/>
    <mergeCell ref="D4:H4"/>
    <mergeCell ref="D5:H5"/>
    <mergeCell ref="D6:H6"/>
    <mergeCell ref="B3:C3"/>
    <mergeCell ref="B4:C4"/>
    <mergeCell ref="B13:H13"/>
    <mergeCell ref="F15:G15"/>
    <mergeCell ref="F17:G17"/>
    <mergeCell ref="B8:H8"/>
    <mergeCell ref="B11:D11"/>
    <mergeCell ref="C15:D15"/>
    <mergeCell ref="C16:D16"/>
    <mergeCell ref="C17:D17"/>
    <mergeCell ref="G28:H28"/>
    <mergeCell ref="B19:H19"/>
    <mergeCell ref="B21:C21"/>
    <mergeCell ref="B37:H37"/>
    <mergeCell ref="G29:H29"/>
    <mergeCell ref="B27:H27"/>
    <mergeCell ref="B23:H23"/>
    <mergeCell ref="B31:H31"/>
    <mergeCell ref="B33:D33"/>
    <mergeCell ref="B34:D34"/>
    <mergeCell ref="B32:H32"/>
    <mergeCell ref="E35:F35"/>
    <mergeCell ref="E36:F36"/>
    <mergeCell ref="G35:H35"/>
    <mergeCell ref="G36:H36"/>
    <mergeCell ref="B35:D36"/>
    <mergeCell ref="B45:D45"/>
    <mergeCell ref="B46:D46"/>
    <mergeCell ref="B39:C39"/>
    <mergeCell ref="G38:H39"/>
    <mergeCell ref="D38:E38"/>
    <mergeCell ref="B43:H43"/>
    <mergeCell ref="B44:D44"/>
    <mergeCell ref="B40:D41"/>
    <mergeCell ref="E40:F40"/>
    <mergeCell ref="E41:F41"/>
  </mergeCells>
  <pageMargins left="0.511811024" right="0.511811024" top="0.78740157499999996" bottom="0.78740157499999996" header="0.31496062000000002" footer="0.31496062000000002"/>
  <pageSetup paperSize="9" scale="69" orientation="portrait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22"/>
  <sheetViews>
    <sheetView showGridLines="0" topLeftCell="A89" zoomScaleNormal="100" zoomScaleSheetLayoutView="98" workbookViewId="0">
      <selection activeCell="B1" sqref="A1:L122"/>
    </sheetView>
  </sheetViews>
  <sheetFormatPr defaultColWidth="11.85546875" defaultRowHeight="15"/>
  <cols>
    <col min="1" max="1" width="6.28515625" style="18" customWidth="1"/>
    <col min="2" max="2" width="4.5703125" style="18" customWidth="1"/>
    <col min="3" max="3" width="9" style="18" customWidth="1"/>
    <col min="4" max="4" width="25" style="18" customWidth="1"/>
    <col min="5" max="5" width="4.7109375" style="18" bestFit="1" customWidth="1"/>
    <col min="6" max="6" width="9" style="18" bestFit="1" customWidth="1"/>
    <col min="7" max="7" width="10.42578125" style="18" customWidth="1"/>
    <col min="8" max="8" width="10.7109375" style="18" customWidth="1"/>
    <col min="9" max="9" width="16.7109375" style="50" customWidth="1"/>
    <col min="10" max="10" width="9" style="51" bestFit="1" customWidth="1"/>
    <col min="11" max="11" width="9.140625" style="18" bestFit="1" customWidth="1"/>
    <col min="12" max="12" width="14.28515625" style="35" bestFit="1" customWidth="1"/>
    <col min="13" max="13" width="12.140625" style="18" customWidth="1"/>
    <col min="14" max="14" width="12.140625" style="18" bestFit="1" customWidth="1"/>
    <col min="15" max="16384" width="11.85546875" style="18"/>
  </cols>
  <sheetData>
    <row r="1" spans="2:13">
      <c r="B1" s="388" t="s">
        <v>286</v>
      </c>
      <c r="C1" s="388"/>
      <c r="D1" s="388"/>
      <c r="E1" s="388"/>
      <c r="F1" s="388"/>
      <c r="G1" s="388"/>
      <c r="H1" s="388"/>
      <c r="I1" s="388"/>
      <c r="J1" s="388"/>
      <c r="K1" s="388"/>
      <c r="L1" s="388"/>
    </row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9" customFormat="1">
      <c r="B3" s="401" t="s">
        <v>273</v>
      </c>
      <c r="C3" s="401"/>
      <c r="D3" s="401"/>
      <c r="E3" s="418" t="s">
        <v>358</v>
      </c>
      <c r="F3" s="418"/>
      <c r="G3" s="418"/>
      <c r="H3" s="418"/>
      <c r="I3" s="165" t="s">
        <v>0</v>
      </c>
      <c r="J3" s="420" t="s">
        <v>282</v>
      </c>
      <c r="K3" s="421"/>
      <c r="L3" s="422"/>
    </row>
    <row r="4" spans="2:13" s="19" customFormat="1">
      <c r="B4" s="401" t="s">
        <v>272</v>
      </c>
      <c r="C4" s="401"/>
      <c r="D4" s="401"/>
      <c r="E4" s="418" t="s">
        <v>361</v>
      </c>
      <c r="F4" s="418"/>
      <c r="G4" s="418"/>
      <c r="H4" s="418"/>
      <c r="I4" s="165" t="s">
        <v>281</v>
      </c>
      <c r="J4" s="400" t="s">
        <v>317</v>
      </c>
      <c r="K4" s="400"/>
      <c r="L4" s="400"/>
    </row>
    <row r="5" spans="2:13" s="19" customFormat="1">
      <c r="B5" s="402"/>
      <c r="C5" s="403"/>
      <c r="D5" s="403"/>
      <c r="E5" s="403"/>
      <c r="F5" s="403"/>
      <c r="G5" s="403"/>
      <c r="H5" s="403"/>
      <c r="I5" s="403"/>
      <c r="J5" s="403"/>
      <c r="K5" s="403"/>
      <c r="L5" s="404"/>
    </row>
    <row r="6" spans="2:13" s="19" customFormat="1">
      <c r="B6" s="401" t="s">
        <v>274</v>
      </c>
      <c r="C6" s="401"/>
      <c r="D6" s="401"/>
      <c r="E6" s="419"/>
      <c r="F6" s="419"/>
      <c r="G6" s="419"/>
      <c r="H6" s="401" t="s">
        <v>277</v>
      </c>
      <c r="I6" s="401"/>
      <c r="J6" s="401"/>
      <c r="K6" s="405" t="s">
        <v>318</v>
      </c>
      <c r="L6" s="400"/>
    </row>
    <row r="7" spans="2:13" s="19" customFormat="1">
      <c r="B7" s="401" t="s">
        <v>275</v>
      </c>
      <c r="C7" s="401"/>
      <c r="D7" s="401"/>
      <c r="E7" s="400" t="s">
        <v>283</v>
      </c>
      <c r="F7" s="400"/>
      <c r="G7" s="400"/>
      <c r="H7" s="165" t="s">
        <v>276</v>
      </c>
      <c r="I7" s="165"/>
      <c r="J7" s="165"/>
      <c r="K7" s="400">
        <v>12</v>
      </c>
      <c r="L7" s="400"/>
    </row>
    <row r="8" spans="2:13" s="19" customFormat="1">
      <c r="B8" s="401" t="s">
        <v>278</v>
      </c>
      <c r="C8" s="401"/>
      <c r="D8" s="401"/>
      <c r="E8" s="401"/>
      <c r="F8" s="401"/>
      <c r="G8" s="401"/>
      <c r="H8" s="400">
        <v>2019</v>
      </c>
      <c r="I8" s="400"/>
      <c r="J8" s="400"/>
      <c r="K8" s="400"/>
      <c r="L8" s="400"/>
    </row>
    <row r="9" spans="2:13" s="19" customFormat="1">
      <c r="B9" s="401" t="s">
        <v>279</v>
      </c>
      <c r="C9" s="401"/>
      <c r="D9" s="401"/>
      <c r="E9" s="401"/>
      <c r="F9" s="401"/>
      <c r="G9" s="401"/>
      <c r="H9" s="418" t="s">
        <v>319</v>
      </c>
      <c r="I9" s="418"/>
      <c r="J9" s="418"/>
      <c r="K9" s="418"/>
      <c r="L9" s="418"/>
    </row>
    <row r="10" spans="2:13" s="19" customFormat="1">
      <c r="B10" s="401" t="s">
        <v>280</v>
      </c>
      <c r="C10" s="401"/>
      <c r="D10" s="401"/>
      <c r="E10" s="401"/>
      <c r="F10" s="401"/>
      <c r="G10" s="401"/>
      <c r="H10" s="418" t="s">
        <v>320</v>
      </c>
      <c r="I10" s="418"/>
      <c r="J10" s="418"/>
      <c r="K10" s="418"/>
      <c r="L10" s="418"/>
    </row>
    <row r="11" spans="2:13"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2:13">
      <c r="B12" s="409" t="s">
        <v>12</v>
      </c>
      <c r="C12" s="409"/>
      <c r="D12" s="409"/>
      <c r="E12" s="409"/>
      <c r="F12" s="409"/>
      <c r="G12" s="409"/>
      <c r="H12" s="409"/>
      <c r="I12" s="409"/>
      <c r="J12" s="409"/>
      <c r="K12" s="409"/>
      <c r="L12" s="409"/>
    </row>
    <row r="13" spans="2:13">
      <c r="B13" s="77" t="s">
        <v>13</v>
      </c>
      <c r="C13" s="412" t="s">
        <v>231</v>
      </c>
      <c r="D13" s="412"/>
      <c r="E13" s="412"/>
      <c r="F13" s="412"/>
      <c r="G13" s="412"/>
      <c r="H13" s="412"/>
      <c r="I13" s="412"/>
      <c r="J13" s="412"/>
      <c r="K13" s="412"/>
      <c r="L13" s="133">
        <f>'Benef. e Insumos'!E10</f>
        <v>1547.12</v>
      </c>
      <c r="M13" s="82"/>
    </row>
    <row r="14" spans="2:13" hidden="1">
      <c r="B14" s="99" t="s">
        <v>166</v>
      </c>
      <c r="C14" s="412" t="s">
        <v>167</v>
      </c>
      <c r="D14" s="412"/>
      <c r="E14" s="412"/>
      <c r="F14" s="412"/>
      <c r="G14" s="412"/>
      <c r="H14" s="412"/>
      <c r="I14" s="412"/>
      <c r="J14" s="412"/>
      <c r="K14" s="412"/>
      <c r="L14" s="133"/>
      <c r="M14" s="82"/>
    </row>
    <row r="15" spans="2:13">
      <c r="B15" s="77" t="s">
        <v>15</v>
      </c>
      <c r="C15" s="413" t="s">
        <v>232</v>
      </c>
      <c r="D15" s="414"/>
      <c r="E15" s="414"/>
      <c r="F15" s="414"/>
      <c r="G15" s="414"/>
      <c r="H15" s="414"/>
      <c r="I15" s="415"/>
      <c r="J15" s="134" t="s">
        <v>18</v>
      </c>
      <c r="K15" s="135">
        <v>0.3</v>
      </c>
      <c r="L15" s="133">
        <f>L13*K15</f>
        <v>464.13599999999997</v>
      </c>
      <c r="M15" s="30"/>
    </row>
    <row r="16" spans="2:13">
      <c r="B16" s="110" t="s">
        <v>19</v>
      </c>
      <c r="C16" s="413" t="s">
        <v>233</v>
      </c>
      <c r="D16" s="414"/>
      <c r="E16" s="414"/>
      <c r="F16" s="414"/>
      <c r="G16" s="414"/>
      <c r="H16" s="414"/>
      <c r="I16" s="415"/>
      <c r="J16" s="134" t="s">
        <v>18</v>
      </c>
      <c r="K16" s="135">
        <v>0</v>
      </c>
      <c r="L16" s="133">
        <v>0</v>
      </c>
      <c r="M16" s="30"/>
    </row>
    <row r="17" spans="2:13">
      <c r="B17" s="110" t="s">
        <v>21</v>
      </c>
      <c r="C17" s="413" t="s">
        <v>236</v>
      </c>
      <c r="D17" s="414"/>
      <c r="E17" s="414"/>
      <c r="F17" s="414"/>
      <c r="G17" s="414"/>
      <c r="H17" s="414"/>
      <c r="I17" s="415"/>
      <c r="J17" s="134" t="s">
        <v>18</v>
      </c>
      <c r="K17" s="135">
        <v>0</v>
      </c>
      <c r="L17" s="133">
        <v>0</v>
      </c>
      <c r="M17" s="30"/>
    </row>
    <row r="18" spans="2:13">
      <c r="B18" s="110" t="s">
        <v>23</v>
      </c>
      <c r="C18" s="399" t="s">
        <v>331</v>
      </c>
      <c r="D18" s="399"/>
      <c r="E18" s="399"/>
      <c r="F18" s="399"/>
      <c r="G18" s="399"/>
      <c r="H18" s="399"/>
      <c r="I18" s="399"/>
      <c r="J18" s="134" t="s">
        <v>18</v>
      </c>
      <c r="K18" s="135">
        <v>0.05</v>
      </c>
      <c r="L18" s="133">
        <f>L13*K18</f>
        <v>77.355999999999995</v>
      </c>
      <c r="M18" s="30"/>
    </row>
    <row r="19" spans="2:13">
      <c r="B19" s="110" t="s">
        <v>6</v>
      </c>
      <c r="C19" s="416" t="s">
        <v>340</v>
      </c>
      <c r="D19" s="416"/>
      <c r="E19" s="416"/>
      <c r="F19" s="416"/>
      <c r="G19" s="416"/>
      <c r="H19" s="416"/>
      <c r="I19" s="416"/>
      <c r="J19" s="416"/>
      <c r="K19" s="416"/>
      <c r="L19" s="29">
        <f>'Benef. e Insumos'!G41</f>
        <v>50.582385163636374</v>
      </c>
      <c r="M19" s="30"/>
    </row>
    <row r="20" spans="2:13">
      <c r="B20" s="110" t="s">
        <v>24</v>
      </c>
      <c r="C20" s="399" t="s">
        <v>339</v>
      </c>
      <c r="D20" s="399"/>
      <c r="E20" s="399"/>
      <c r="F20" s="399"/>
      <c r="G20" s="399"/>
      <c r="H20" s="399"/>
      <c r="I20" s="399"/>
      <c r="J20" s="399"/>
      <c r="K20" s="399"/>
      <c r="L20" s="29">
        <f>'Benef. e Insumos'!E11</f>
        <v>0</v>
      </c>
      <c r="M20" s="30"/>
    </row>
    <row r="21" spans="2:13">
      <c r="B21" s="417" t="s">
        <v>220</v>
      </c>
      <c r="C21" s="417"/>
      <c r="D21" s="417"/>
      <c r="E21" s="417"/>
      <c r="F21" s="417"/>
      <c r="G21" s="417"/>
      <c r="H21" s="417"/>
      <c r="I21" s="417"/>
      <c r="J21" s="417"/>
      <c r="K21" s="417"/>
      <c r="L21" s="120">
        <f>SUM(L13:L20)</f>
        <v>2139.1943851636365</v>
      </c>
      <c r="M21" s="32"/>
    </row>
    <row r="22" spans="2:13">
      <c r="B22" s="33"/>
      <c r="C22" s="33"/>
      <c r="D22" s="33"/>
      <c r="E22" s="33"/>
      <c r="F22" s="33"/>
      <c r="G22" s="33"/>
      <c r="H22" s="33"/>
      <c r="I22" s="34"/>
      <c r="J22" s="33"/>
      <c r="K22" s="33"/>
    </row>
    <row r="23" spans="2:13">
      <c r="B23" s="409" t="s">
        <v>173</v>
      </c>
      <c r="C23" s="409"/>
      <c r="D23" s="409"/>
      <c r="E23" s="409"/>
      <c r="F23" s="409"/>
      <c r="G23" s="409"/>
      <c r="H23" s="409"/>
      <c r="I23" s="409"/>
      <c r="J23" s="409"/>
      <c r="K23" s="409"/>
      <c r="L23" s="24">
        <f>L11</f>
        <v>0</v>
      </c>
    </row>
    <row r="24" spans="2:13">
      <c r="B24" s="402" t="s">
        <v>240</v>
      </c>
      <c r="C24" s="403"/>
      <c r="D24" s="403"/>
      <c r="E24" s="403"/>
      <c r="F24" s="403"/>
      <c r="G24" s="403"/>
      <c r="H24" s="403"/>
      <c r="I24" s="403"/>
      <c r="J24" s="403"/>
      <c r="K24" s="112" t="s">
        <v>18</v>
      </c>
      <c r="L24" s="29" t="s">
        <v>178</v>
      </c>
    </row>
    <row r="25" spans="2:13">
      <c r="B25" s="110" t="s">
        <v>13</v>
      </c>
      <c r="C25" s="367" t="s">
        <v>241</v>
      </c>
      <c r="D25" s="368"/>
      <c r="E25" s="368"/>
      <c r="F25" s="368"/>
      <c r="G25" s="368"/>
      <c r="H25" s="368"/>
      <c r="I25" s="368"/>
      <c r="J25" s="369"/>
      <c r="K25" s="52">
        <f>1/12</f>
        <v>8.3333333333333329E-2</v>
      </c>
      <c r="L25" s="29">
        <f>K25*L21</f>
        <v>178.26619876363637</v>
      </c>
      <c r="M25" s="132"/>
    </row>
    <row r="26" spans="2:13">
      <c r="B26" s="110" t="s">
        <v>15</v>
      </c>
      <c r="C26" s="367" t="s">
        <v>242</v>
      </c>
      <c r="D26" s="368"/>
      <c r="E26" s="368"/>
      <c r="F26" s="368"/>
      <c r="G26" s="368"/>
      <c r="H26" s="368"/>
      <c r="I26" s="368"/>
      <c r="J26" s="369"/>
      <c r="K26" s="116">
        <f>K66/3</f>
        <v>3.0249999999999999E-2</v>
      </c>
      <c r="L26" s="29">
        <f>K26*L21</f>
        <v>64.710630151200007</v>
      </c>
      <c r="M26" s="132"/>
    </row>
    <row r="27" spans="2:13">
      <c r="B27" s="124" t="s">
        <v>19</v>
      </c>
      <c r="C27" s="125" t="s">
        <v>225</v>
      </c>
      <c r="D27" s="125"/>
      <c r="E27" s="125"/>
      <c r="F27" s="125"/>
      <c r="G27" s="125"/>
      <c r="H27" s="125"/>
      <c r="I27" s="125"/>
      <c r="J27" s="126"/>
      <c r="K27" s="52">
        <f>SUM(K25:K26)</f>
        <v>0.11358333333333333</v>
      </c>
      <c r="L27" s="29">
        <f>SUM(L25:L26)</f>
        <v>242.97682891483637</v>
      </c>
    </row>
    <row r="28" spans="2:13">
      <c r="B28" s="124" t="s">
        <v>21</v>
      </c>
      <c r="C28" s="125" t="s">
        <v>226</v>
      </c>
      <c r="D28" s="125"/>
      <c r="E28" s="125"/>
      <c r="F28" s="131"/>
      <c r="G28" s="125"/>
      <c r="H28" s="125"/>
      <c r="I28" s="125"/>
      <c r="J28" s="126"/>
      <c r="K28" s="52">
        <f>K27*K40</f>
        <v>4.1798666666666678E-2</v>
      </c>
      <c r="L28" s="29">
        <f>K28*L27</f>
        <v>10.156107479534944</v>
      </c>
    </row>
    <row r="29" spans="2:13">
      <c r="B29" s="355" t="s">
        <v>177</v>
      </c>
      <c r="C29" s="356"/>
      <c r="D29" s="356"/>
      <c r="E29" s="356"/>
      <c r="F29" s="356"/>
      <c r="G29" s="356"/>
      <c r="H29" s="356"/>
      <c r="I29" s="356"/>
      <c r="J29" s="357"/>
      <c r="K29" s="121"/>
      <c r="L29" s="122">
        <f>SUM(L27:L28)</f>
        <v>253.13293639437131</v>
      </c>
    </row>
    <row r="30" spans="2:13">
      <c r="B30" s="348"/>
      <c r="C30" s="348"/>
      <c r="D30" s="348"/>
      <c r="E30" s="348"/>
      <c r="F30" s="348"/>
      <c r="G30" s="348"/>
      <c r="H30" s="348"/>
      <c r="I30" s="348"/>
      <c r="J30" s="348"/>
      <c r="K30" s="348"/>
      <c r="L30" s="348"/>
    </row>
    <row r="31" spans="2:13">
      <c r="B31" s="402" t="s">
        <v>179</v>
      </c>
      <c r="C31" s="403"/>
      <c r="D31" s="403"/>
      <c r="E31" s="403"/>
      <c r="F31" s="403"/>
      <c r="G31" s="403"/>
      <c r="H31" s="403"/>
      <c r="I31" s="403"/>
      <c r="J31" s="403"/>
      <c r="K31" s="112" t="s">
        <v>18</v>
      </c>
      <c r="L31" s="29" t="s">
        <v>178</v>
      </c>
    </row>
    <row r="32" spans="2:13" ht="15" customHeight="1">
      <c r="B32" s="77" t="s">
        <v>13</v>
      </c>
      <c r="C32" s="349" t="s">
        <v>243</v>
      </c>
      <c r="D32" s="349"/>
      <c r="E32" s="349"/>
      <c r="F32" s="349"/>
      <c r="G32" s="349"/>
      <c r="H32" s="349"/>
      <c r="I32" s="349"/>
      <c r="J32" s="349"/>
      <c r="K32" s="215">
        <v>0.2</v>
      </c>
      <c r="L32" s="45">
        <f>ROUND($K$32*L21,2)</f>
        <v>427.84</v>
      </c>
    </row>
    <row r="33" spans="2:20">
      <c r="B33" s="77" t="s">
        <v>15</v>
      </c>
      <c r="C33" s="349" t="s">
        <v>244</v>
      </c>
      <c r="D33" s="349"/>
      <c r="E33" s="349"/>
      <c r="F33" s="349"/>
      <c r="G33" s="349"/>
      <c r="H33" s="349"/>
      <c r="I33" s="349"/>
      <c r="J33" s="349"/>
      <c r="K33" s="215">
        <v>1.4999999999999999E-2</v>
      </c>
      <c r="L33" s="45">
        <f>ROUND($K$33*L21,2)</f>
        <v>32.090000000000003</v>
      </c>
    </row>
    <row r="34" spans="2:20">
      <c r="B34" s="77" t="s">
        <v>19</v>
      </c>
      <c r="C34" s="349" t="s">
        <v>245</v>
      </c>
      <c r="D34" s="349"/>
      <c r="E34" s="349"/>
      <c r="F34" s="349"/>
      <c r="G34" s="349"/>
      <c r="H34" s="349"/>
      <c r="I34" s="349"/>
      <c r="J34" s="349"/>
      <c r="K34" s="215">
        <v>0.01</v>
      </c>
      <c r="L34" s="45">
        <f t="shared" ref="L34:L39" si="0">ROUND(K34*$L$21,2)</f>
        <v>21.39</v>
      </c>
      <c r="M34" s="339" t="s">
        <v>298</v>
      </c>
      <c r="N34" s="340"/>
      <c r="O34" s="340"/>
    </row>
    <row r="35" spans="2:20">
      <c r="B35" s="77" t="s">
        <v>21</v>
      </c>
      <c r="C35" s="349" t="s">
        <v>246</v>
      </c>
      <c r="D35" s="349"/>
      <c r="E35" s="349"/>
      <c r="F35" s="349"/>
      <c r="G35" s="349"/>
      <c r="H35" s="349"/>
      <c r="I35" s="349"/>
      <c r="J35" s="349"/>
      <c r="K35" s="215">
        <v>2E-3</v>
      </c>
      <c r="L35" s="45">
        <f t="shared" si="0"/>
        <v>4.28</v>
      </c>
      <c r="M35" s="339"/>
      <c r="N35" s="340"/>
      <c r="O35" s="340"/>
    </row>
    <row r="36" spans="2:20">
      <c r="B36" s="77" t="s">
        <v>23</v>
      </c>
      <c r="C36" s="349" t="s">
        <v>247</v>
      </c>
      <c r="D36" s="349"/>
      <c r="E36" s="349"/>
      <c r="F36" s="349"/>
      <c r="G36" s="349"/>
      <c r="H36" s="349"/>
      <c r="I36" s="349"/>
      <c r="J36" s="349"/>
      <c r="K36" s="215">
        <v>2.5000000000000001E-2</v>
      </c>
      <c r="L36" s="45">
        <f t="shared" si="0"/>
        <v>53.48</v>
      </c>
      <c r="M36" s="339"/>
      <c r="N36" s="340"/>
      <c r="O36" s="340"/>
    </row>
    <row r="37" spans="2:20">
      <c r="B37" s="124" t="s">
        <v>6</v>
      </c>
      <c r="C37" s="336" t="s">
        <v>248</v>
      </c>
      <c r="D37" s="337"/>
      <c r="E37" s="337"/>
      <c r="F37" s="337"/>
      <c r="G37" s="337"/>
      <c r="H37" s="337"/>
      <c r="I37" s="337"/>
      <c r="J37" s="338"/>
      <c r="K37" s="215">
        <v>0.08</v>
      </c>
      <c r="L37" s="45">
        <f t="shared" si="0"/>
        <v>171.14</v>
      </c>
      <c r="M37" s="339"/>
      <c r="N37" s="340"/>
      <c r="O37" s="340"/>
    </row>
    <row r="38" spans="2:20">
      <c r="B38" s="77" t="s">
        <v>24</v>
      </c>
      <c r="C38" s="336" t="s">
        <v>31</v>
      </c>
      <c r="D38" s="337"/>
      <c r="E38" s="337"/>
      <c r="F38" s="338"/>
      <c r="G38" s="47" t="s">
        <v>32</v>
      </c>
      <c r="H38" s="194">
        <v>0.03</v>
      </c>
      <c r="I38" s="148" t="s">
        <v>33</v>
      </c>
      <c r="J38" s="193">
        <v>1</v>
      </c>
      <c r="K38" s="216">
        <f>H38*J38</f>
        <v>0.03</v>
      </c>
      <c r="L38" s="45">
        <f t="shared" si="0"/>
        <v>64.180000000000007</v>
      </c>
      <c r="M38" s="339"/>
      <c r="N38" s="340"/>
      <c r="O38" s="340"/>
    </row>
    <row r="39" spans="2:20">
      <c r="B39" s="77" t="s">
        <v>25</v>
      </c>
      <c r="C39" s="349" t="s">
        <v>249</v>
      </c>
      <c r="D39" s="349"/>
      <c r="E39" s="349"/>
      <c r="F39" s="349"/>
      <c r="G39" s="349"/>
      <c r="H39" s="349"/>
      <c r="I39" s="349"/>
      <c r="J39" s="349"/>
      <c r="K39" s="215">
        <v>6.0000000000000001E-3</v>
      </c>
      <c r="L39" s="45">
        <f t="shared" si="0"/>
        <v>12.84</v>
      </c>
      <c r="M39" s="339"/>
      <c r="N39" s="340"/>
      <c r="O39" s="340"/>
      <c r="P39" s="19"/>
      <c r="Q39" s="19"/>
      <c r="R39" s="19"/>
      <c r="S39" s="19"/>
      <c r="T39" s="19"/>
    </row>
    <row r="40" spans="2:20">
      <c r="B40" s="355" t="s">
        <v>181</v>
      </c>
      <c r="C40" s="356"/>
      <c r="D40" s="356"/>
      <c r="E40" s="356"/>
      <c r="F40" s="356"/>
      <c r="G40" s="356"/>
      <c r="H40" s="356"/>
      <c r="I40" s="356"/>
      <c r="J40" s="357"/>
      <c r="K40" s="214">
        <f>SUM(K32:K39)</f>
        <v>0.3680000000000001</v>
      </c>
      <c r="L40" s="122">
        <f>SUM(L32:L39)</f>
        <v>787.2399999999999</v>
      </c>
      <c r="M40" s="339"/>
      <c r="N40" s="340"/>
      <c r="O40" s="340"/>
      <c r="P40" s="19"/>
      <c r="Q40" s="19"/>
      <c r="R40" s="19"/>
      <c r="S40" s="19"/>
      <c r="T40" s="19"/>
    </row>
    <row r="41" spans="2:20">
      <c r="B41" s="348"/>
      <c r="C41" s="348"/>
      <c r="D41" s="348"/>
      <c r="E41" s="348"/>
      <c r="F41" s="348"/>
      <c r="G41" s="348"/>
      <c r="H41" s="348"/>
      <c r="I41" s="348"/>
      <c r="J41" s="348"/>
      <c r="K41" s="348"/>
      <c r="L41" s="348"/>
      <c r="M41" s="19"/>
      <c r="N41" s="19"/>
      <c r="O41" s="19"/>
      <c r="P41" s="19"/>
      <c r="Q41" s="19"/>
      <c r="R41" s="19"/>
      <c r="S41" s="19"/>
      <c r="T41" s="19"/>
    </row>
    <row r="42" spans="2:20">
      <c r="B42" s="402" t="s">
        <v>182</v>
      </c>
      <c r="C42" s="403"/>
      <c r="D42" s="403"/>
      <c r="E42" s="403"/>
      <c r="F42" s="403"/>
      <c r="G42" s="403"/>
      <c r="H42" s="403"/>
      <c r="I42" s="403"/>
      <c r="J42" s="403"/>
      <c r="K42" s="112"/>
      <c r="L42" s="29" t="s">
        <v>178</v>
      </c>
    </row>
    <row r="43" spans="2:20">
      <c r="B43" s="77" t="s">
        <v>13</v>
      </c>
      <c r="C43" s="367" t="str">
        <f>'Benef. e Insumos'!B13</f>
        <v>CLÁUSULA SÉTIMA - TÍQUETE REFEIÇÃO</v>
      </c>
      <c r="D43" s="368"/>
      <c r="E43" s="368"/>
      <c r="F43" s="368"/>
      <c r="G43" s="368"/>
      <c r="H43" s="368"/>
      <c r="I43" s="368"/>
      <c r="J43" s="369"/>
      <c r="K43" s="100"/>
      <c r="L43" s="127">
        <f>'Benef. e Insumos'!H17</f>
        <v>300.12</v>
      </c>
    </row>
    <row r="44" spans="2:20" ht="15" customHeight="1">
      <c r="B44" s="99" t="s">
        <v>15</v>
      </c>
      <c r="C44" s="336" t="str">
        <f>'Benef. e Insumos'!B27</f>
        <v xml:space="preserve"> AUXÍLIO TRANSPORTE</v>
      </c>
      <c r="D44" s="337"/>
      <c r="E44" s="337"/>
      <c r="F44" s="337"/>
      <c r="G44" s="337"/>
      <c r="H44" s="337"/>
      <c r="I44" s="337"/>
      <c r="J44" s="338"/>
      <c r="K44" s="101"/>
      <c r="L44" s="29">
        <f>'Benef. e Insumos'!G29</f>
        <v>21.172800000000009</v>
      </c>
    </row>
    <row r="45" spans="2:20" ht="15" customHeight="1">
      <c r="B45" s="201" t="s">
        <v>19</v>
      </c>
      <c r="C45" s="336" t="s">
        <v>332</v>
      </c>
      <c r="D45" s="337"/>
      <c r="E45" s="337"/>
      <c r="F45" s="337"/>
      <c r="G45" s="337"/>
      <c r="H45" s="337"/>
      <c r="I45" s="337"/>
      <c r="J45" s="338"/>
      <c r="K45" s="205"/>
      <c r="L45" s="26">
        <f>'Benef. e Insumos'!H24</f>
        <v>135.03299999999999</v>
      </c>
    </row>
    <row r="46" spans="2:20" ht="15" customHeight="1">
      <c r="B46" s="201" t="s">
        <v>21</v>
      </c>
      <c r="C46" s="336" t="s">
        <v>302</v>
      </c>
      <c r="D46" s="337"/>
      <c r="E46" s="337"/>
      <c r="F46" s="337"/>
      <c r="G46" s="337"/>
      <c r="H46" s="337"/>
      <c r="I46" s="337"/>
      <c r="J46" s="338"/>
      <c r="K46" s="205"/>
      <c r="L46" s="26">
        <v>7.05</v>
      </c>
    </row>
    <row r="47" spans="2:20">
      <c r="B47" s="99" t="s">
        <v>23</v>
      </c>
      <c r="C47" s="374" t="s">
        <v>3</v>
      </c>
      <c r="D47" s="375"/>
      <c r="E47" s="375"/>
      <c r="F47" s="375"/>
      <c r="G47" s="375"/>
      <c r="H47" s="375"/>
      <c r="I47" s="375"/>
      <c r="J47" s="375"/>
      <c r="K47" s="139"/>
      <c r="L47" s="138">
        <v>0</v>
      </c>
    </row>
    <row r="48" spans="2:20">
      <c r="B48" s="355" t="s">
        <v>184</v>
      </c>
      <c r="C48" s="356"/>
      <c r="D48" s="356"/>
      <c r="E48" s="356"/>
      <c r="F48" s="356"/>
      <c r="G48" s="356"/>
      <c r="H48" s="356"/>
      <c r="I48" s="356"/>
      <c r="J48" s="356"/>
      <c r="K48" s="357"/>
      <c r="L48" s="122">
        <f>SUM(L43:L47)</f>
        <v>463.37579999999997</v>
      </c>
    </row>
    <row r="49" spans="1:13">
      <c r="B49" s="348"/>
      <c r="C49" s="348"/>
      <c r="D49" s="348"/>
      <c r="E49" s="348"/>
      <c r="F49" s="348"/>
      <c r="G49" s="348"/>
      <c r="H49" s="348"/>
      <c r="I49" s="348"/>
      <c r="J49" s="348"/>
      <c r="K49" s="348"/>
      <c r="L49" s="348"/>
    </row>
    <row r="50" spans="1:13">
      <c r="B50" s="393" t="s">
        <v>185</v>
      </c>
      <c r="C50" s="393"/>
      <c r="D50" s="393"/>
      <c r="E50" s="393"/>
      <c r="F50" s="393"/>
      <c r="G50" s="393"/>
      <c r="H50" s="393"/>
      <c r="I50" s="393"/>
      <c r="J50" s="393"/>
      <c r="K50" s="393"/>
      <c r="L50" s="24">
        <f>L11</f>
        <v>0</v>
      </c>
    </row>
    <row r="51" spans="1:13">
      <c r="B51" s="110" t="s">
        <v>186</v>
      </c>
      <c r="C51" s="367" t="s">
        <v>189</v>
      </c>
      <c r="D51" s="368"/>
      <c r="E51" s="368"/>
      <c r="F51" s="368"/>
      <c r="G51" s="368"/>
      <c r="H51" s="368"/>
      <c r="I51" s="368"/>
      <c r="J51" s="369"/>
      <c r="K51" s="100"/>
      <c r="L51" s="29">
        <f>L29</f>
        <v>253.13293639437131</v>
      </c>
    </row>
    <row r="52" spans="1:13">
      <c r="B52" s="110" t="s">
        <v>187</v>
      </c>
      <c r="C52" s="367" t="s">
        <v>190</v>
      </c>
      <c r="D52" s="368"/>
      <c r="E52" s="368"/>
      <c r="F52" s="368"/>
      <c r="G52" s="368"/>
      <c r="H52" s="368"/>
      <c r="I52" s="368"/>
      <c r="J52" s="369"/>
      <c r="K52" s="100"/>
      <c r="L52" s="29">
        <f>L40</f>
        <v>787.2399999999999</v>
      </c>
    </row>
    <row r="53" spans="1:13">
      <c r="B53" s="110" t="s">
        <v>188</v>
      </c>
      <c r="C53" s="367" t="s">
        <v>192</v>
      </c>
      <c r="D53" s="368"/>
      <c r="E53" s="368"/>
      <c r="F53" s="368"/>
      <c r="G53" s="368"/>
      <c r="H53" s="368"/>
      <c r="I53" s="368"/>
      <c r="J53" s="369"/>
      <c r="K53" s="100"/>
      <c r="L53" s="29">
        <f>L48</f>
        <v>463.37579999999997</v>
      </c>
    </row>
    <row r="54" spans="1:13">
      <c r="B54" s="355" t="s">
        <v>191</v>
      </c>
      <c r="C54" s="356"/>
      <c r="D54" s="356"/>
      <c r="E54" s="356"/>
      <c r="F54" s="356"/>
      <c r="G54" s="356"/>
      <c r="H54" s="356"/>
      <c r="I54" s="356"/>
      <c r="J54" s="356"/>
      <c r="K54" s="357"/>
      <c r="L54" s="122">
        <f>SUM(L51:L53)</f>
        <v>1503.7487363943712</v>
      </c>
    </row>
    <row r="55" spans="1:13">
      <c r="A55" s="157"/>
      <c r="B55" s="376"/>
      <c r="C55" s="376"/>
      <c r="D55" s="376"/>
      <c r="E55" s="376"/>
      <c r="F55" s="376"/>
      <c r="G55" s="376"/>
      <c r="H55" s="376"/>
      <c r="I55" s="376"/>
      <c r="J55" s="376"/>
      <c r="K55" s="376"/>
      <c r="L55" s="158"/>
      <c r="M55" s="157"/>
    </row>
    <row r="56" spans="1:13">
      <c r="B56" s="409" t="s">
        <v>183</v>
      </c>
      <c r="C56" s="409"/>
      <c r="D56" s="409"/>
      <c r="E56" s="409"/>
      <c r="F56" s="409"/>
      <c r="G56" s="409"/>
      <c r="H56" s="409"/>
      <c r="I56" s="409"/>
      <c r="J56" s="409"/>
      <c r="K56" s="117" t="s">
        <v>18</v>
      </c>
      <c r="L56" s="118" t="s">
        <v>178</v>
      </c>
    </row>
    <row r="57" spans="1:13">
      <c r="B57" s="97" t="s">
        <v>13</v>
      </c>
      <c r="C57" s="349" t="s">
        <v>271</v>
      </c>
      <c r="D57" s="349"/>
      <c r="E57" s="349"/>
      <c r="F57" s="349"/>
      <c r="G57" s="349"/>
      <c r="H57" s="349"/>
      <c r="I57" s="149">
        <v>30</v>
      </c>
      <c r="J57" s="150">
        <v>5.5500000000000001E-2</v>
      </c>
      <c r="K57" s="52">
        <f>I57/30/12*J57</f>
        <v>4.6249999999999998E-3</v>
      </c>
      <c r="L57" s="29">
        <f>ROUND(K57*$L$21,2)</f>
        <v>9.89</v>
      </c>
      <c r="M57" s="132"/>
    </row>
    <row r="58" spans="1:13">
      <c r="B58" s="97" t="s">
        <v>15</v>
      </c>
      <c r="C58" s="349" t="s">
        <v>36</v>
      </c>
      <c r="D58" s="349"/>
      <c r="E58" s="349"/>
      <c r="F58" s="349"/>
      <c r="G58" s="349"/>
      <c r="H58" s="349"/>
      <c r="I58" s="349"/>
      <c r="J58" s="349"/>
      <c r="K58" s="116">
        <f>K37*K57</f>
        <v>3.6999999999999999E-4</v>
      </c>
      <c r="L58" s="29">
        <f>ROUND(K58*$L$21,2)</f>
        <v>0.79</v>
      </c>
      <c r="M58" s="132"/>
    </row>
    <row r="59" spans="1:13">
      <c r="B59" s="124" t="s">
        <v>19</v>
      </c>
      <c r="C59" s="349" t="s">
        <v>196</v>
      </c>
      <c r="D59" s="349"/>
      <c r="E59" s="349"/>
      <c r="F59" s="349"/>
      <c r="G59" s="349"/>
      <c r="H59" s="349"/>
      <c r="I59" s="349"/>
      <c r="J59" s="349"/>
      <c r="K59" s="52">
        <f>(1/30)/12*7</f>
        <v>1.9444444444444445E-2</v>
      </c>
      <c r="L59" s="29">
        <f>ROUND(K59*$L$21,2)</f>
        <v>41.6</v>
      </c>
    </row>
    <row r="60" spans="1:13">
      <c r="B60" s="110" t="s">
        <v>21</v>
      </c>
      <c r="C60" s="349" t="s">
        <v>195</v>
      </c>
      <c r="D60" s="349"/>
      <c r="E60" s="349"/>
      <c r="F60" s="349"/>
      <c r="G60" s="349"/>
      <c r="H60" s="349"/>
      <c r="I60" s="349"/>
      <c r="J60" s="349"/>
      <c r="K60" s="116">
        <f>(K40*K59)</f>
        <v>7.1555555555555574E-3</v>
      </c>
      <c r="L60" s="29">
        <f>ROUND(K60*$L$21,2)</f>
        <v>15.31</v>
      </c>
    </row>
    <row r="61" spans="1:13">
      <c r="B61" s="130" t="s">
        <v>23</v>
      </c>
      <c r="C61" s="128" t="s">
        <v>263</v>
      </c>
      <c r="D61" s="128"/>
      <c r="E61" s="128"/>
      <c r="F61" s="128"/>
      <c r="G61" s="128"/>
      <c r="H61" s="128"/>
      <c r="I61" s="128"/>
      <c r="J61" s="129"/>
      <c r="K61" s="116">
        <v>0.05</v>
      </c>
      <c r="L61" s="29">
        <f>ROUND(K61*$L$21,2)</f>
        <v>106.96</v>
      </c>
    </row>
    <row r="62" spans="1:13" ht="15" customHeight="1">
      <c r="B62" s="355" t="s">
        <v>193</v>
      </c>
      <c r="C62" s="356"/>
      <c r="D62" s="356"/>
      <c r="E62" s="356"/>
      <c r="F62" s="356"/>
      <c r="G62" s="356"/>
      <c r="H62" s="356"/>
      <c r="I62" s="356"/>
      <c r="J62" s="356"/>
      <c r="K62" s="357"/>
      <c r="L62" s="122">
        <f>SUM(L57:L61)</f>
        <v>174.55</v>
      </c>
    </row>
    <row r="63" spans="1:13">
      <c r="B63" s="377"/>
      <c r="C63" s="377"/>
      <c r="D63" s="377"/>
      <c r="E63" s="377"/>
      <c r="F63" s="377"/>
      <c r="G63" s="377"/>
      <c r="H63" s="377"/>
      <c r="I63" s="377"/>
      <c r="J63" s="377"/>
      <c r="K63" s="377"/>
      <c r="L63" s="159"/>
      <c r="M63" s="157"/>
    </row>
    <row r="64" spans="1:13">
      <c r="B64" s="352" t="s">
        <v>198</v>
      </c>
      <c r="C64" s="353"/>
      <c r="D64" s="353"/>
      <c r="E64" s="353"/>
      <c r="F64" s="353"/>
      <c r="G64" s="353"/>
      <c r="H64" s="353"/>
      <c r="I64" s="353"/>
      <c r="J64" s="353"/>
      <c r="K64" s="354"/>
      <c r="L64" s="118"/>
    </row>
    <row r="65" spans="2:13">
      <c r="B65" s="407" t="s">
        <v>203</v>
      </c>
      <c r="C65" s="408"/>
      <c r="D65" s="408"/>
      <c r="E65" s="408"/>
      <c r="F65" s="408"/>
      <c r="G65" s="408"/>
      <c r="H65" s="408"/>
      <c r="I65" s="408"/>
      <c r="J65" s="408"/>
      <c r="K65" s="112" t="s">
        <v>18</v>
      </c>
      <c r="L65" s="29" t="s">
        <v>178</v>
      </c>
    </row>
    <row r="66" spans="2:13">
      <c r="B66" s="77" t="s">
        <v>13</v>
      </c>
      <c r="C66" s="384" t="s">
        <v>199</v>
      </c>
      <c r="D66" s="384"/>
      <c r="E66" s="384"/>
      <c r="F66" s="384"/>
      <c r="G66" s="384"/>
      <c r="H66" s="384"/>
      <c r="I66" s="384"/>
      <c r="J66" s="384"/>
      <c r="K66" s="161">
        <v>9.0749999999999997E-2</v>
      </c>
      <c r="L66" s="29">
        <f>K66*$L$21</f>
        <v>194.13189045360002</v>
      </c>
    </row>
    <row r="67" spans="2:13">
      <c r="B67" s="77" t="s">
        <v>15</v>
      </c>
      <c r="C67" s="162" t="s">
        <v>200</v>
      </c>
      <c r="D67" s="163"/>
      <c r="E67" s="163"/>
      <c r="F67" s="163"/>
      <c r="G67" s="410" t="s">
        <v>266</v>
      </c>
      <c r="H67" s="410"/>
      <c r="I67" s="410"/>
      <c r="J67" s="164"/>
      <c r="K67" s="59">
        <f>5.96/365</f>
        <v>1.6328767123287673E-2</v>
      </c>
      <c r="L67" s="29">
        <f>K67*$L$21</f>
        <v>34.930406946781574</v>
      </c>
      <c r="M67" s="98"/>
    </row>
    <row r="68" spans="2:13">
      <c r="B68" s="77" t="s">
        <v>19</v>
      </c>
      <c r="C68" s="349" t="s">
        <v>288</v>
      </c>
      <c r="D68" s="349"/>
      <c r="E68" s="349"/>
      <c r="F68" s="349"/>
      <c r="G68" s="411" t="s">
        <v>267</v>
      </c>
      <c r="H68" s="411"/>
      <c r="I68" s="155">
        <v>1.4999999999999999E-2</v>
      </c>
      <c r="J68" s="156">
        <v>5</v>
      </c>
      <c r="K68" s="59">
        <f>J68/30/12*I68</f>
        <v>2.0833333333333332E-4</v>
      </c>
      <c r="L68" s="29">
        <f>K68*$L$21</f>
        <v>0.44566549690909091</v>
      </c>
    </row>
    <row r="69" spans="2:13">
      <c r="B69" s="77" t="s">
        <v>21</v>
      </c>
      <c r="C69" s="367" t="s">
        <v>201</v>
      </c>
      <c r="D69" s="368"/>
      <c r="E69" s="368"/>
      <c r="F69" s="368"/>
      <c r="G69" s="368"/>
      <c r="H69" s="368"/>
      <c r="I69" s="368"/>
      <c r="J69" s="369"/>
      <c r="K69" s="59">
        <f>((15/30)/12)*0.08</f>
        <v>3.3333333333333331E-3</v>
      </c>
      <c r="L69" s="29">
        <f>K69*$L$21</f>
        <v>7.1306479505454545</v>
      </c>
    </row>
    <row r="70" spans="2:13">
      <c r="B70" s="77" t="s">
        <v>23</v>
      </c>
      <c r="C70" s="367" t="s">
        <v>202</v>
      </c>
      <c r="D70" s="368"/>
      <c r="E70" s="368"/>
      <c r="F70" s="368"/>
      <c r="G70" s="368"/>
      <c r="H70" s="368"/>
      <c r="I70" s="368"/>
      <c r="J70" s="369"/>
      <c r="K70" s="160">
        <f>(0.02*(4/12)/12)</f>
        <v>5.5555555555555556E-4</v>
      </c>
      <c r="L70" s="29">
        <f>K70*$L$21</f>
        <v>1.1884413250909092</v>
      </c>
      <c r="M70" s="82"/>
    </row>
    <row r="71" spans="2:13">
      <c r="B71" s="146" t="s">
        <v>6</v>
      </c>
      <c r="C71" s="142" t="s">
        <v>265</v>
      </c>
      <c r="D71" s="143"/>
      <c r="E71" s="143"/>
      <c r="F71" s="143"/>
      <c r="G71" s="143"/>
      <c r="H71" s="143"/>
      <c r="I71" s="143"/>
      <c r="J71" s="144"/>
      <c r="K71" s="59">
        <f>SUM(K66:K70)</f>
        <v>0.1111759893455099</v>
      </c>
      <c r="L71" s="29">
        <f>SUM(L66:L70)</f>
        <v>237.82705217292707</v>
      </c>
      <c r="M71" s="82"/>
    </row>
    <row r="72" spans="2:13">
      <c r="B72" s="77" t="s">
        <v>24</v>
      </c>
      <c r="C72" s="399" t="s">
        <v>264</v>
      </c>
      <c r="D72" s="399"/>
      <c r="E72" s="399" t="s">
        <v>40</v>
      </c>
      <c r="F72" s="399"/>
      <c r="G72" s="399"/>
      <c r="H72" s="399"/>
      <c r="I72" s="399"/>
      <c r="J72" s="399"/>
      <c r="K72" s="141">
        <f>K40*K71</f>
        <v>4.0912764079147658E-2</v>
      </c>
      <c r="L72" s="29">
        <f>L71*K72</f>
        <v>9.7301620771901067</v>
      </c>
      <c r="M72" s="82"/>
    </row>
    <row r="73" spans="2:13">
      <c r="B73" s="355" t="s">
        <v>204</v>
      </c>
      <c r="C73" s="356"/>
      <c r="D73" s="356"/>
      <c r="E73" s="356"/>
      <c r="F73" s="356"/>
      <c r="G73" s="356"/>
      <c r="H73" s="356"/>
      <c r="I73" s="356"/>
      <c r="J73" s="356"/>
      <c r="K73" s="357"/>
      <c r="L73" s="122">
        <f>SUM(L71:L72)</f>
        <v>247.55721425011717</v>
      </c>
    </row>
    <row r="74" spans="2:13">
      <c r="B74" s="348"/>
      <c r="C74" s="348"/>
      <c r="D74" s="348"/>
      <c r="E74" s="348"/>
      <c r="F74" s="348"/>
      <c r="G74" s="348"/>
      <c r="H74" s="348"/>
      <c r="I74" s="348"/>
      <c r="J74" s="348"/>
      <c r="K74" s="348"/>
      <c r="L74" s="348"/>
    </row>
    <row r="75" spans="2:13">
      <c r="B75" s="407" t="s">
        <v>205</v>
      </c>
      <c r="C75" s="408"/>
      <c r="D75" s="408"/>
      <c r="E75" s="408"/>
      <c r="F75" s="408"/>
      <c r="G75" s="408"/>
      <c r="H75" s="408"/>
      <c r="I75" s="408"/>
      <c r="J75" s="408"/>
      <c r="K75" s="112" t="s">
        <v>18</v>
      </c>
      <c r="L75" s="29" t="s">
        <v>178</v>
      </c>
    </row>
    <row r="76" spans="2:13">
      <c r="B76" s="110" t="s">
        <v>13</v>
      </c>
      <c r="C76" s="384" t="s">
        <v>206</v>
      </c>
      <c r="D76" s="384"/>
      <c r="E76" s="384"/>
      <c r="F76" s="384"/>
      <c r="G76" s="384"/>
      <c r="H76" s="384"/>
      <c r="I76" s="384"/>
      <c r="J76" s="384"/>
      <c r="K76" s="59">
        <v>0</v>
      </c>
      <c r="L76" s="29">
        <f>K76*$L$21</f>
        <v>0</v>
      </c>
    </row>
    <row r="77" spans="2:13">
      <c r="B77" s="355" t="s">
        <v>207</v>
      </c>
      <c r="C77" s="356"/>
      <c r="D77" s="356"/>
      <c r="E77" s="356"/>
      <c r="F77" s="356"/>
      <c r="G77" s="356"/>
      <c r="H77" s="356"/>
      <c r="I77" s="356"/>
      <c r="J77" s="356"/>
      <c r="K77" s="357"/>
      <c r="L77" s="122">
        <f>SUM(L76:L76)</f>
        <v>0</v>
      </c>
    </row>
    <row r="78" spans="2:13">
      <c r="B78" s="348"/>
      <c r="C78" s="348"/>
      <c r="D78" s="348"/>
      <c r="E78" s="348"/>
      <c r="F78" s="348"/>
      <c r="G78" s="348"/>
      <c r="H78" s="348"/>
      <c r="I78" s="348"/>
      <c r="J78" s="348"/>
      <c r="K78" s="348"/>
      <c r="L78" s="348"/>
    </row>
    <row r="79" spans="2:13">
      <c r="B79" s="393" t="s">
        <v>208</v>
      </c>
      <c r="C79" s="393"/>
      <c r="D79" s="393"/>
      <c r="E79" s="393"/>
      <c r="F79" s="393"/>
      <c r="G79" s="393"/>
      <c r="H79" s="393"/>
      <c r="I79" s="393"/>
      <c r="J79" s="393"/>
      <c r="K79" s="393"/>
      <c r="L79" s="118" t="s">
        <v>178</v>
      </c>
    </row>
    <row r="80" spans="2:13">
      <c r="B80" s="110" t="s">
        <v>209</v>
      </c>
      <c r="C80" s="367" t="s">
        <v>200</v>
      </c>
      <c r="D80" s="368"/>
      <c r="E80" s="368"/>
      <c r="F80" s="368"/>
      <c r="G80" s="368"/>
      <c r="H80" s="368"/>
      <c r="I80" s="368"/>
      <c r="J80" s="368"/>
      <c r="K80" s="369"/>
      <c r="L80" s="29">
        <f>L73</f>
        <v>247.55721425011717</v>
      </c>
    </row>
    <row r="81" spans="2:15">
      <c r="B81" s="110" t="s">
        <v>210</v>
      </c>
      <c r="C81" s="367" t="s">
        <v>211</v>
      </c>
      <c r="D81" s="368"/>
      <c r="E81" s="368"/>
      <c r="F81" s="368"/>
      <c r="G81" s="368"/>
      <c r="H81" s="368"/>
      <c r="I81" s="368"/>
      <c r="J81" s="368"/>
      <c r="K81" s="369"/>
      <c r="L81" s="29">
        <f>L77</f>
        <v>0</v>
      </c>
    </row>
    <row r="82" spans="2:15">
      <c r="B82" s="355" t="s">
        <v>212</v>
      </c>
      <c r="C82" s="356"/>
      <c r="D82" s="356"/>
      <c r="E82" s="356"/>
      <c r="F82" s="356"/>
      <c r="G82" s="356"/>
      <c r="H82" s="356"/>
      <c r="I82" s="356"/>
      <c r="J82" s="356"/>
      <c r="K82" s="357"/>
      <c r="L82" s="122">
        <f>SUM(L80:L81)</f>
        <v>247.55721425011717</v>
      </c>
    </row>
    <row r="83" spans="2:15">
      <c r="B83" s="350"/>
      <c r="C83" s="351"/>
      <c r="D83" s="351"/>
      <c r="E83" s="351"/>
      <c r="F83" s="351"/>
      <c r="G83" s="351"/>
      <c r="H83" s="351"/>
      <c r="I83" s="351"/>
      <c r="J83" s="351"/>
      <c r="K83" s="351"/>
      <c r="L83" s="351"/>
    </row>
    <row r="84" spans="2:15">
      <c r="B84" s="352" t="s">
        <v>213</v>
      </c>
      <c r="C84" s="353"/>
      <c r="D84" s="353"/>
      <c r="E84" s="353"/>
      <c r="F84" s="353"/>
      <c r="G84" s="353"/>
      <c r="H84" s="353"/>
      <c r="I84" s="353"/>
      <c r="J84" s="353"/>
      <c r="K84" s="354"/>
      <c r="L84" s="118" t="s">
        <v>178</v>
      </c>
      <c r="M84" s="40"/>
    </row>
    <row r="85" spans="2:15">
      <c r="B85" s="123" t="s">
        <v>13</v>
      </c>
      <c r="C85" s="427" t="s">
        <v>66</v>
      </c>
      <c r="D85" s="427"/>
      <c r="E85" s="427"/>
      <c r="F85" s="427"/>
      <c r="G85" s="427"/>
      <c r="H85" s="427"/>
      <c r="I85" s="427"/>
      <c r="J85" s="427"/>
      <c r="K85" s="427"/>
      <c r="L85" s="26">
        <f>'Benef. e Insumos'!H55</f>
        <v>22.289375</v>
      </c>
    </row>
    <row r="86" spans="2:15">
      <c r="B86" s="123" t="s">
        <v>15</v>
      </c>
      <c r="C86" s="374" t="s">
        <v>295</v>
      </c>
      <c r="D86" s="375"/>
      <c r="E86" s="375"/>
      <c r="F86" s="375"/>
      <c r="G86" s="375"/>
      <c r="H86" s="375"/>
      <c r="I86" s="375"/>
      <c r="J86" s="375"/>
      <c r="K86" s="426"/>
      <c r="L86" s="192">
        <f>'Benef. e Insumos'!H70</f>
        <v>69.30364583333332</v>
      </c>
      <c r="M86" s="41"/>
      <c r="N86" s="82"/>
    </row>
    <row r="87" spans="2:15">
      <c r="B87" s="355" t="s">
        <v>219</v>
      </c>
      <c r="C87" s="356"/>
      <c r="D87" s="356"/>
      <c r="E87" s="356"/>
      <c r="F87" s="356"/>
      <c r="G87" s="356"/>
      <c r="H87" s="356"/>
      <c r="I87" s="356"/>
      <c r="J87" s="356"/>
      <c r="K87" s="357"/>
      <c r="L87" s="122">
        <f>SUM(L85:L86)</f>
        <v>91.593020833333327</v>
      </c>
    </row>
    <row r="88" spans="2:15">
      <c r="B88" s="42"/>
      <c r="C88" s="42"/>
      <c r="D88" s="42"/>
      <c r="E88" s="42"/>
      <c r="F88" s="42"/>
      <c r="G88" s="42"/>
      <c r="H88" s="42"/>
      <c r="I88" s="55"/>
      <c r="J88" s="42"/>
      <c r="K88" s="42"/>
    </row>
    <row r="89" spans="2:15">
      <c r="B89" s="409" t="s">
        <v>217</v>
      </c>
      <c r="C89" s="409"/>
      <c r="D89" s="409"/>
      <c r="E89" s="409"/>
      <c r="F89" s="409"/>
      <c r="G89" s="409"/>
      <c r="H89" s="409"/>
      <c r="I89" s="409"/>
      <c r="J89" s="409"/>
      <c r="K89" s="117"/>
      <c r="L89" s="118">
        <f>L11</f>
        <v>0</v>
      </c>
    </row>
    <row r="90" spans="2:15">
      <c r="B90" s="77" t="s">
        <v>13</v>
      </c>
      <c r="C90" s="384" t="s">
        <v>229</v>
      </c>
      <c r="D90" s="384"/>
      <c r="E90" s="384"/>
      <c r="F90" s="384"/>
      <c r="G90" s="384"/>
      <c r="H90" s="384"/>
      <c r="I90" s="384"/>
      <c r="J90" s="384"/>
      <c r="K90" s="83">
        <v>0.06</v>
      </c>
      <c r="L90" s="45">
        <f>K90*L110</f>
        <v>249.39860139848753</v>
      </c>
      <c r="M90" s="68"/>
    </row>
    <row r="91" spans="2:15">
      <c r="B91" s="396" t="s">
        <v>230</v>
      </c>
      <c r="C91" s="397"/>
      <c r="D91" s="397"/>
      <c r="E91" s="397"/>
      <c r="F91" s="397"/>
      <c r="G91" s="397"/>
      <c r="H91" s="397"/>
      <c r="I91" s="397"/>
      <c r="J91" s="397"/>
      <c r="K91" s="398"/>
      <c r="L91" s="45"/>
      <c r="M91" s="68"/>
    </row>
    <row r="92" spans="2:15">
      <c r="B92" s="77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3">
        <v>6.7900000000000002E-2</v>
      </c>
      <c r="L92" s="45">
        <f>K92*L110</f>
        <v>282.23608391595508</v>
      </c>
      <c r="M92" s="68"/>
    </row>
    <row r="93" spans="2:15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>
        <f>L110+L90+L92</f>
        <v>4688.2780419559022</v>
      </c>
      <c r="K93" s="366"/>
      <c r="L93" s="65"/>
    </row>
    <row r="94" spans="2:15">
      <c r="B94" s="361"/>
      <c r="C94" s="367" t="s">
        <v>43</v>
      </c>
      <c r="D94" s="368"/>
      <c r="E94" s="368"/>
      <c r="F94" s="369"/>
      <c r="G94" s="58"/>
      <c r="H94" s="58" t="s">
        <v>44</v>
      </c>
      <c r="I94" s="58"/>
      <c r="J94" s="370"/>
      <c r="K94" s="371"/>
      <c r="L94" s="65"/>
      <c r="M94" s="339" t="s">
        <v>297</v>
      </c>
      <c r="N94" s="340"/>
      <c r="O94" s="340"/>
    </row>
    <row r="95" spans="2:15">
      <c r="B95" s="361"/>
      <c r="C95" s="358" t="s">
        <v>45</v>
      </c>
      <c r="D95" s="358"/>
      <c r="E95" s="358"/>
      <c r="F95" s="358"/>
      <c r="G95" s="84" t="s">
        <v>46</v>
      </c>
      <c r="H95" s="191">
        <v>6.4999999999999997E-3</v>
      </c>
      <c r="I95" s="372">
        <f>SUM(H95:H100)</f>
        <v>8.6499999999999994E-2</v>
      </c>
      <c r="J95" s="359">
        <f>ROUND($L$112*H95,2)</f>
        <v>33.36</v>
      </c>
      <c r="K95" s="360"/>
      <c r="L95" s="423">
        <f>SUM(J95:K100)</f>
        <v>443.94</v>
      </c>
      <c r="M95" s="339"/>
      <c r="N95" s="340"/>
      <c r="O95" s="340"/>
    </row>
    <row r="96" spans="2:15">
      <c r="B96" s="361"/>
      <c r="C96" s="358"/>
      <c r="D96" s="358"/>
      <c r="E96" s="358"/>
      <c r="F96" s="358"/>
      <c r="G96" s="84" t="s">
        <v>47</v>
      </c>
      <c r="H96" s="191">
        <v>0.03</v>
      </c>
      <c r="I96" s="372"/>
      <c r="J96" s="359">
        <f t="shared" ref="J96:J100" si="1">ROUND($L$112*H96,2)</f>
        <v>153.97</v>
      </c>
      <c r="K96" s="360"/>
      <c r="L96" s="424"/>
      <c r="M96" s="339"/>
      <c r="N96" s="340"/>
      <c r="O96" s="340"/>
    </row>
    <row r="97" spans="2:15">
      <c r="B97" s="361"/>
      <c r="C97" s="358"/>
      <c r="D97" s="358"/>
      <c r="E97" s="358"/>
      <c r="F97" s="358"/>
      <c r="G97" s="84" t="s">
        <v>48</v>
      </c>
      <c r="H97" s="191">
        <v>0</v>
      </c>
      <c r="I97" s="372"/>
      <c r="J97" s="359">
        <f t="shared" si="1"/>
        <v>0</v>
      </c>
      <c r="K97" s="360"/>
      <c r="L97" s="424"/>
      <c r="M97" s="339"/>
      <c r="N97" s="340"/>
      <c r="O97" s="340"/>
    </row>
    <row r="98" spans="2:15">
      <c r="B98" s="361"/>
      <c r="C98" s="358" t="s">
        <v>49</v>
      </c>
      <c r="D98" s="358"/>
      <c r="E98" s="358"/>
      <c r="F98" s="358"/>
      <c r="G98" s="85" t="s">
        <v>50</v>
      </c>
      <c r="H98" s="191">
        <v>0.05</v>
      </c>
      <c r="I98" s="372"/>
      <c r="J98" s="359">
        <f t="shared" si="1"/>
        <v>256.61</v>
      </c>
      <c r="K98" s="360"/>
      <c r="L98" s="424"/>
      <c r="M98" s="339"/>
      <c r="N98" s="340"/>
      <c r="O98" s="340"/>
    </row>
    <row r="99" spans="2:15">
      <c r="B99" s="361"/>
      <c r="C99" s="358"/>
      <c r="D99" s="358"/>
      <c r="E99" s="358"/>
      <c r="F99" s="358"/>
      <c r="G99" s="85" t="s">
        <v>48</v>
      </c>
      <c r="H99" s="191">
        <v>0</v>
      </c>
      <c r="I99" s="372"/>
      <c r="J99" s="359">
        <f t="shared" si="1"/>
        <v>0</v>
      </c>
      <c r="K99" s="360"/>
      <c r="L99" s="424"/>
      <c r="M99" s="339"/>
      <c r="N99" s="340"/>
      <c r="O99" s="340"/>
    </row>
    <row r="100" spans="2:15">
      <c r="B100" s="361"/>
      <c r="C100" s="358" t="s">
        <v>51</v>
      </c>
      <c r="D100" s="358"/>
      <c r="E100" s="358"/>
      <c r="F100" s="358"/>
      <c r="G100" s="85"/>
      <c r="H100" s="191">
        <v>0</v>
      </c>
      <c r="I100" s="372"/>
      <c r="J100" s="359">
        <f t="shared" si="1"/>
        <v>0</v>
      </c>
      <c r="K100" s="360"/>
      <c r="L100" s="425"/>
      <c r="M100" s="339"/>
      <c r="N100" s="340"/>
      <c r="O100" s="340"/>
    </row>
    <row r="101" spans="2:15">
      <c r="B101" s="393" t="s">
        <v>52</v>
      </c>
      <c r="C101" s="393"/>
      <c r="D101" s="393"/>
      <c r="E101" s="393"/>
      <c r="F101" s="393"/>
      <c r="G101" s="393"/>
      <c r="H101" s="393"/>
      <c r="I101" s="393"/>
      <c r="J101" s="393"/>
      <c r="K101" s="393"/>
      <c r="L101" s="78">
        <f>L95+L92+L90</f>
        <v>975.5746853144426</v>
      </c>
      <c r="M101" s="18" t="s">
        <v>299</v>
      </c>
    </row>
    <row r="102" spans="2:15">
      <c r="B102" s="69"/>
      <c r="C102" s="69"/>
      <c r="D102" s="69"/>
      <c r="E102" s="69"/>
      <c r="F102" s="69"/>
      <c r="G102" s="69"/>
      <c r="H102" s="69"/>
      <c r="I102" s="70"/>
      <c r="J102" s="71"/>
      <c r="K102" s="69"/>
    </row>
    <row r="103" spans="2:15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5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4">
        <f>L11</f>
        <v>0</v>
      </c>
    </row>
    <row r="105" spans="2:15">
      <c r="B105" s="77" t="s">
        <v>13</v>
      </c>
      <c r="C105" s="384" t="str">
        <f>B12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2">
        <f>L21</f>
        <v>2139.1943851636365</v>
      </c>
    </row>
    <row r="106" spans="2:15">
      <c r="B106" s="77" t="s">
        <v>15</v>
      </c>
      <c r="C106" s="384" t="str">
        <f>B23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2">
        <f>L54</f>
        <v>1503.7487363943712</v>
      </c>
    </row>
    <row r="107" spans="2:15">
      <c r="B107" s="77" t="s">
        <v>19</v>
      </c>
      <c r="C107" s="384" t="str">
        <f>B56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2">
        <f>L62</f>
        <v>174.55</v>
      </c>
    </row>
    <row r="108" spans="2:15">
      <c r="B108" s="77" t="s">
        <v>21</v>
      </c>
      <c r="C108" s="384" t="str">
        <f>B64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2">
        <f>L82</f>
        <v>247.55721425011717</v>
      </c>
    </row>
    <row r="109" spans="2:15">
      <c r="B109" s="110" t="s">
        <v>23</v>
      </c>
      <c r="C109" s="384" t="str">
        <f>B84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2">
        <f>L87</f>
        <v>91.593020833333327</v>
      </c>
    </row>
    <row r="110" spans="2:15">
      <c r="B110" s="385" t="s">
        <v>221</v>
      </c>
      <c r="C110" s="385"/>
      <c r="D110" s="385"/>
      <c r="E110" s="385"/>
      <c r="F110" s="385"/>
      <c r="G110" s="385"/>
      <c r="H110" s="385"/>
      <c r="I110" s="385"/>
      <c r="J110" s="385"/>
      <c r="K110" s="385"/>
      <c r="L110" s="78">
        <f>SUM(L105:L109)</f>
        <v>4156.6433566414589</v>
      </c>
    </row>
    <row r="111" spans="2:15">
      <c r="B111" s="77" t="s">
        <v>6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3">
        <f>L112-L110</f>
        <v>975.56664335854111</v>
      </c>
    </row>
    <row r="112" spans="2:15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80">
        <f>ROUND(J93/(1-$I$95),2)</f>
        <v>5132.21</v>
      </c>
      <c r="M112" s="82"/>
    </row>
    <row r="113" spans="1:12">
      <c r="F113" s="387" t="s">
        <v>57</v>
      </c>
      <c r="G113" s="388"/>
      <c r="H113" s="388"/>
      <c r="I113" s="389"/>
      <c r="J113" s="18"/>
      <c r="L113" s="18"/>
    </row>
    <row r="114" spans="1:12">
      <c r="F114" s="390" t="s">
        <v>58</v>
      </c>
      <c r="G114" s="391"/>
      <c r="H114" s="392"/>
      <c r="I114" s="74" t="s">
        <v>18</v>
      </c>
      <c r="J114" s="18"/>
      <c r="L114" s="18"/>
    </row>
    <row r="115" spans="1:12">
      <c r="F115" s="75" t="s">
        <v>59</v>
      </c>
      <c r="G115" s="75"/>
      <c r="H115" s="76"/>
      <c r="I115" s="76">
        <f>K90</f>
        <v>0.06</v>
      </c>
      <c r="J115" s="18"/>
      <c r="L115" s="18"/>
    </row>
    <row r="116" spans="1:12">
      <c r="F116" s="378" t="s">
        <v>41</v>
      </c>
      <c r="G116" s="379"/>
      <c r="H116" s="380"/>
      <c r="I116" s="76">
        <f>K92</f>
        <v>6.7900000000000002E-2</v>
      </c>
      <c r="J116" s="18"/>
      <c r="L116" s="18"/>
    </row>
    <row r="117" spans="1:12">
      <c r="F117" s="75" t="s">
        <v>60</v>
      </c>
      <c r="G117" s="75"/>
      <c r="H117" s="76"/>
      <c r="I117" s="76">
        <f>I95</f>
        <v>8.6499999999999994E-2</v>
      </c>
      <c r="J117" s="18"/>
      <c r="L117" s="18"/>
    </row>
    <row r="118" spans="1:12">
      <c r="F118" s="381" t="s">
        <v>61</v>
      </c>
      <c r="G118" s="382"/>
      <c r="H118" s="383"/>
      <c r="I118" s="76">
        <f>(1+I115)*(1+I116)/(1-I117)-1</f>
        <v>0.2391614668856048</v>
      </c>
      <c r="J118" s="18"/>
      <c r="L118" s="18"/>
    </row>
    <row r="119" spans="1:12">
      <c r="A119" s="373" t="s">
        <v>268</v>
      </c>
      <c r="B119" s="373"/>
      <c r="C119" s="373"/>
    </row>
    <row r="120" spans="1:12" ht="15" customHeight="1">
      <c r="A120" s="341" t="s">
        <v>296</v>
      </c>
      <c r="B120" s="342"/>
      <c r="C120" s="342"/>
      <c r="D120" s="342"/>
      <c r="E120" s="342"/>
      <c r="F120" s="342"/>
      <c r="G120" s="342"/>
      <c r="H120" s="342"/>
      <c r="I120" s="342"/>
      <c r="J120" s="342"/>
      <c r="K120" s="342"/>
      <c r="L120" s="343"/>
    </row>
    <row r="121" spans="1:12" ht="32.25" customHeight="1">
      <c r="A121" s="344"/>
      <c r="B121" s="345"/>
      <c r="C121" s="345"/>
      <c r="D121" s="345"/>
      <c r="E121" s="345"/>
      <c r="F121" s="345"/>
      <c r="G121" s="345"/>
      <c r="H121" s="345"/>
      <c r="I121" s="345"/>
      <c r="J121" s="345"/>
      <c r="K121" s="345"/>
      <c r="L121" s="346"/>
    </row>
    <row r="122" spans="1:12" ht="31.5" customHeight="1">
      <c r="A122" s="347" t="s">
        <v>359</v>
      </c>
      <c r="B122" s="347"/>
      <c r="C122" s="347"/>
      <c r="D122" s="347"/>
      <c r="E122" s="347"/>
      <c r="F122" s="347"/>
      <c r="G122" s="347"/>
      <c r="H122" s="347"/>
      <c r="I122" s="347"/>
      <c r="J122" s="347"/>
      <c r="K122" s="347"/>
      <c r="L122" s="347"/>
    </row>
  </sheetData>
  <mergeCells count="137">
    <mergeCell ref="B24:J24"/>
    <mergeCell ref="B29:J29"/>
    <mergeCell ref="C25:J25"/>
    <mergeCell ref="C26:J26"/>
    <mergeCell ref="B31:J31"/>
    <mergeCell ref="B40:J40"/>
    <mergeCell ref="B42:J42"/>
    <mergeCell ref="C43:J43"/>
    <mergeCell ref="C34:J34"/>
    <mergeCell ref="C38:F38"/>
    <mergeCell ref="C39:J39"/>
    <mergeCell ref="C33:J33"/>
    <mergeCell ref="C32:J32"/>
    <mergeCell ref="C35:J35"/>
    <mergeCell ref="C36:J36"/>
    <mergeCell ref="B30:L30"/>
    <mergeCell ref="B48:K48"/>
    <mergeCell ref="C80:K80"/>
    <mergeCell ref="C81:K81"/>
    <mergeCell ref="L95:L100"/>
    <mergeCell ref="C37:J37"/>
    <mergeCell ref="C44:J44"/>
    <mergeCell ref="I59:J59"/>
    <mergeCell ref="C57:H57"/>
    <mergeCell ref="C86:K86"/>
    <mergeCell ref="B87:K87"/>
    <mergeCell ref="B84:K84"/>
    <mergeCell ref="B82:K82"/>
    <mergeCell ref="B77:K77"/>
    <mergeCell ref="B73:K73"/>
    <mergeCell ref="C90:J90"/>
    <mergeCell ref="C92:J92"/>
    <mergeCell ref="B75:J75"/>
    <mergeCell ref="C76:J76"/>
    <mergeCell ref="B89:J89"/>
    <mergeCell ref="C85:K85"/>
    <mergeCell ref="B50:K50"/>
    <mergeCell ref="C51:J51"/>
    <mergeCell ref="C52:J52"/>
    <mergeCell ref="J96:K96"/>
    <mergeCell ref="B8:G8"/>
    <mergeCell ref="B9:G9"/>
    <mergeCell ref="B10:G10"/>
    <mergeCell ref="E3:H3"/>
    <mergeCell ref="E4:H4"/>
    <mergeCell ref="H8:L8"/>
    <mergeCell ref="H9:L9"/>
    <mergeCell ref="H10:L10"/>
    <mergeCell ref="J3:L3"/>
    <mergeCell ref="B12:L12"/>
    <mergeCell ref="C13:K13"/>
    <mergeCell ref="C14:K14"/>
    <mergeCell ref="C16:I16"/>
    <mergeCell ref="C17:I17"/>
    <mergeCell ref="B23:K23"/>
    <mergeCell ref="C18:I18"/>
    <mergeCell ref="C19:K19"/>
    <mergeCell ref="C20:K20"/>
    <mergeCell ref="B21:K21"/>
    <mergeCell ref="C15:I15"/>
    <mergeCell ref="C98:F99"/>
    <mergeCell ref="J98:K98"/>
    <mergeCell ref="J99:K99"/>
    <mergeCell ref="C53:J53"/>
    <mergeCell ref="C58:H58"/>
    <mergeCell ref="I58:J58"/>
    <mergeCell ref="C59:H59"/>
    <mergeCell ref="B65:J65"/>
    <mergeCell ref="C69:J69"/>
    <mergeCell ref="C70:J70"/>
    <mergeCell ref="C66:J66"/>
    <mergeCell ref="B56:J56"/>
    <mergeCell ref="G67:I67"/>
    <mergeCell ref="C68:F68"/>
    <mergeCell ref="G68:H68"/>
    <mergeCell ref="B54:K54"/>
    <mergeCell ref="B1:L1"/>
    <mergeCell ref="J4:L4"/>
    <mergeCell ref="B3:D3"/>
    <mergeCell ref="B4:D4"/>
    <mergeCell ref="B5:L5"/>
    <mergeCell ref="B6:D6"/>
    <mergeCell ref="B7:D7"/>
    <mergeCell ref="E6:G6"/>
    <mergeCell ref="E7:G7"/>
    <mergeCell ref="K6:L6"/>
    <mergeCell ref="K7:L7"/>
    <mergeCell ref="H6:J6"/>
    <mergeCell ref="B2:L2"/>
    <mergeCell ref="A119:C119"/>
    <mergeCell ref="C47:J47"/>
    <mergeCell ref="B55:K55"/>
    <mergeCell ref="B63:K63"/>
    <mergeCell ref="F116:H116"/>
    <mergeCell ref="F118:H118"/>
    <mergeCell ref="C108:K108"/>
    <mergeCell ref="B110:K110"/>
    <mergeCell ref="C111:K111"/>
    <mergeCell ref="B112:K112"/>
    <mergeCell ref="F113:I113"/>
    <mergeCell ref="F114:H114"/>
    <mergeCell ref="B101:K101"/>
    <mergeCell ref="B103:L103"/>
    <mergeCell ref="B104:K104"/>
    <mergeCell ref="B91:K91"/>
    <mergeCell ref="B79:K79"/>
    <mergeCell ref="C105:K105"/>
    <mergeCell ref="C106:K106"/>
    <mergeCell ref="C107:K107"/>
    <mergeCell ref="C109:K109"/>
    <mergeCell ref="C72:J72"/>
    <mergeCell ref="C60:H60"/>
    <mergeCell ref="J97:K97"/>
    <mergeCell ref="C45:J45"/>
    <mergeCell ref="C46:J46"/>
    <mergeCell ref="M94:O100"/>
    <mergeCell ref="M34:O40"/>
    <mergeCell ref="A120:L121"/>
    <mergeCell ref="A122:L122"/>
    <mergeCell ref="B78:L78"/>
    <mergeCell ref="B74:L74"/>
    <mergeCell ref="B49:L49"/>
    <mergeCell ref="B41:L41"/>
    <mergeCell ref="I60:J60"/>
    <mergeCell ref="B83:L83"/>
    <mergeCell ref="B64:K64"/>
    <mergeCell ref="B62:K62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</mergeCells>
  <pageMargins left="0.511811024" right="0.511811024" top="0.78740157499999996" bottom="0.78740157499999996" header="0.31496062000000002" footer="0.31496062000000002"/>
  <pageSetup paperSize="9" scale="42" orientation="portrait" r:id="rId1"/>
  <rowBreaks count="1" manualBreakCount="1">
    <brk id="78" max="12" man="1"/>
  </rowBreaks>
  <ignoredErrors>
    <ignoredError sqref="K67:K70 K71 L86" unlocked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24"/>
  <sheetViews>
    <sheetView showGridLines="0" topLeftCell="A90" zoomScaleNormal="100" zoomScaleSheetLayoutView="98" workbookViewId="0">
      <selection activeCell="B1" sqref="A1:L124"/>
    </sheetView>
  </sheetViews>
  <sheetFormatPr defaultColWidth="11.85546875" defaultRowHeight="15"/>
  <cols>
    <col min="1" max="1" width="6.28515625" style="18" customWidth="1"/>
    <col min="2" max="2" width="4.5703125" style="18" customWidth="1"/>
    <col min="3" max="3" width="9" style="18" customWidth="1"/>
    <col min="4" max="4" width="25" style="18" customWidth="1"/>
    <col min="5" max="5" width="4.7109375" style="18" bestFit="1" customWidth="1"/>
    <col min="6" max="6" width="9" style="18" bestFit="1" customWidth="1"/>
    <col min="7" max="7" width="10.42578125" style="18" customWidth="1"/>
    <col min="8" max="8" width="10.7109375" style="18" customWidth="1"/>
    <col min="9" max="9" width="16.7109375" style="50" customWidth="1"/>
    <col min="10" max="10" width="9" style="51" bestFit="1" customWidth="1"/>
    <col min="11" max="11" width="9.140625" style="18" bestFit="1" customWidth="1"/>
    <col min="12" max="12" width="14.28515625" style="35" bestFit="1" customWidth="1"/>
    <col min="13" max="13" width="12.140625" style="18" customWidth="1"/>
    <col min="14" max="14" width="12.140625" style="18" bestFit="1" customWidth="1"/>
    <col min="15" max="16384" width="11.85546875" style="18"/>
  </cols>
  <sheetData>
    <row r="1" spans="2:13">
      <c r="B1" s="464" t="s">
        <v>286</v>
      </c>
      <c r="C1" s="464"/>
      <c r="D1" s="464"/>
      <c r="E1" s="464"/>
      <c r="F1" s="464"/>
      <c r="G1" s="464"/>
      <c r="H1" s="464"/>
      <c r="I1" s="464"/>
      <c r="J1" s="464"/>
      <c r="K1" s="464"/>
      <c r="L1" s="464"/>
    </row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9" customFormat="1">
      <c r="B3" s="401" t="s">
        <v>273</v>
      </c>
      <c r="C3" s="401"/>
      <c r="D3" s="401"/>
      <c r="E3" s="418" t="s">
        <v>358</v>
      </c>
      <c r="F3" s="418"/>
      <c r="G3" s="418"/>
      <c r="H3" s="418"/>
      <c r="I3" s="197" t="s">
        <v>0</v>
      </c>
      <c r="J3" s="420" t="s">
        <v>282</v>
      </c>
      <c r="K3" s="421"/>
      <c r="L3" s="422"/>
    </row>
    <row r="4" spans="2:13" s="19" customFormat="1">
      <c r="B4" s="401" t="s">
        <v>272</v>
      </c>
      <c r="C4" s="401"/>
      <c r="D4" s="401"/>
      <c r="E4" s="418" t="s">
        <v>361</v>
      </c>
      <c r="F4" s="418"/>
      <c r="G4" s="418"/>
      <c r="H4" s="418"/>
      <c r="I4" s="197" t="s">
        <v>281</v>
      </c>
      <c r="J4" s="400" t="s">
        <v>317</v>
      </c>
      <c r="K4" s="400"/>
      <c r="L4" s="400"/>
    </row>
    <row r="5" spans="2:13" s="19" customFormat="1">
      <c r="B5" s="402"/>
      <c r="C5" s="403"/>
      <c r="D5" s="403"/>
      <c r="E5" s="403"/>
      <c r="F5" s="403"/>
      <c r="G5" s="403"/>
      <c r="H5" s="403"/>
      <c r="I5" s="403"/>
      <c r="J5" s="403"/>
      <c r="K5" s="403"/>
      <c r="L5" s="404"/>
    </row>
    <row r="6" spans="2:13" s="19" customFormat="1">
      <c r="B6" s="401" t="s">
        <v>274</v>
      </c>
      <c r="C6" s="401"/>
      <c r="D6" s="401"/>
      <c r="E6" s="419"/>
      <c r="F6" s="419"/>
      <c r="G6" s="419"/>
      <c r="H6" s="401" t="s">
        <v>277</v>
      </c>
      <c r="I6" s="401"/>
      <c r="J6" s="401"/>
      <c r="K6" s="405" t="s">
        <v>318</v>
      </c>
      <c r="L6" s="400"/>
    </row>
    <row r="7" spans="2:13" s="19" customFormat="1">
      <c r="B7" s="401" t="s">
        <v>275</v>
      </c>
      <c r="C7" s="401"/>
      <c r="D7" s="401"/>
      <c r="E7" s="400" t="s">
        <v>283</v>
      </c>
      <c r="F7" s="400"/>
      <c r="G7" s="400"/>
      <c r="H7" s="197" t="s">
        <v>276</v>
      </c>
      <c r="I7" s="197"/>
      <c r="J7" s="197"/>
      <c r="K7" s="400">
        <v>12</v>
      </c>
      <c r="L7" s="400"/>
    </row>
    <row r="8" spans="2:13" s="19" customFormat="1">
      <c r="B8" s="401" t="s">
        <v>278</v>
      </c>
      <c r="C8" s="401"/>
      <c r="D8" s="401"/>
      <c r="E8" s="401"/>
      <c r="F8" s="401"/>
      <c r="G8" s="401"/>
      <c r="H8" s="400">
        <v>2019</v>
      </c>
      <c r="I8" s="400"/>
      <c r="J8" s="400"/>
      <c r="K8" s="400"/>
      <c r="L8" s="400"/>
    </row>
    <row r="9" spans="2:13" s="19" customFormat="1">
      <c r="B9" s="401" t="s">
        <v>279</v>
      </c>
      <c r="C9" s="401"/>
      <c r="D9" s="401"/>
      <c r="E9" s="401"/>
      <c r="F9" s="401"/>
      <c r="G9" s="401"/>
      <c r="H9" s="418" t="s">
        <v>319</v>
      </c>
      <c r="I9" s="418"/>
      <c r="J9" s="418"/>
      <c r="K9" s="418"/>
      <c r="L9" s="418"/>
    </row>
    <row r="10" spans="2:13" s="19" customFormat="1">
      <c r="B10" s="401" t="s">
        <v>280</v>
      </c>
      <c r="C10" s="401"/>
      <c r="D10" s="401"/>
      <c r="E10" s="401"/>
      <c r="F10" s="401"/>
      <c r="G10" s="401"/>
      <c r="H10" s="418" t="s">
        <v>321</v>
      </c>
      <c r="I10" s="418"/>
      <c r="J10" s="418"/>
      <c r="K10" s="418"/>
      <c r="L10" s="418"/>
    </row>
    <row r="11" spans="2:13"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2:13">
      <c r="B12" s="409" t="s">
        <v>12</v>
      </c>
      <c r="C12" s="409"/>
      <c r="D12" s="409"/>
      <c r="E12" s="409"/>
      <c r="F12" s="409"/>
      <c r="G12" s="409"/>
      <c r="H12" s="409"/>
      <c r="I12" s="409"/>
      <c r="J12" s="409"/>
      <c r="K12" s="409"/>
      <c r="L12" s="409"/>
    </row>
    <row r="13" spans="2:13">
      <c r="B13" s="201" t="s">
        <v>13</v>
      </c>
      <c r="C13" s="412" t="s">
        <v>231</v>
      </c>
      <c r="D13" s="412"/>
      <c r="E13" s="412"/>
      <c r="F13" s="412"/>
      <c r="G13" s="412"/>
      <c r="H13" s="412"/>
      <c r="I13" s="412"/>
      <c r="J13" s="412"/>
      <c r="K13" s="412"/>
      <c r="L13" s="133">
        <f>'Benef. e Insumos'!E10</f>
        <v>1547.12</v>
      </c>
      <c r="M13" s="82"/>
    </row>
    <row r="14" spans="2:13" hidden="1">
      <c r="B14" s="201" t="s">
        <v>166</v>
      </c>
      <c r="C14" s="412" t="s">
        <v>167</v>
      </c>
      <c r="D14" s="412"/>
      <c r="E14" s="412"/>
      <c r="F14" s="412"/>
      <c r="G14" s="412"/>
      <c r="H14" s="412"/>
      <c r="I14" s="412"/>
      <c r="J14" s="412"/>
      <c r="K14" s="412"/>
      <c r="L14" s="133"/>
      <c r="M14" s="82"/>
    </row>
    <row r="15" spans="2:13">
      <c r="B15" s="201" t="s">
        <v>15</v>
      </c>
      <c r="C15" s="413" t="s">
        <v>232</v>
      </c>
      <c r="D15" s="414"/>
      <c r="E15" s="414"/>
      <c r="F15" s="414"/>
      <c r="G15" s="414"/>
      <c r="H15" s="414"/>
      <c r="I15" s="415"/>
      <c r="J15" s="134" t="s">
        <v>18</v>
      </c>
      <c r="K15" s="135">
        <v>0.3</v>
      </c>
      <c r="L15" s="133">
        <f>L13*K15</f>
        <v>464.13599999999997</v>
      </c>
      <c r="M15" s="30"/>
    </row>
    <row r="16" spans="2:13">
      <c r="B16" s="201" t="s">
        <v>19</v>
      </c>
      <c r="C16" s="413" t="s">
        <v>233</v>
      </c>
      <c r="D16" s="414"/>
      <c r="E16" s="414"/>
      <c r="F16" s="414"/>
      <c r="G16" s="414"/>
      <c r="H16" s="414"/>
      <c r="I16" s="415"/>
      <c r="J16" s="134" t="s">
        <v>18</v>
      </c>
      <c r="K16" s="135">
        <v>0</v>
      </c>
      <c r="L16" s="133">
        <v>0</v>
      </c>
      <c r="M16" s="30"/>
    </row>
    <row r="17" spans="2:13">
      <c r="B17" s="201" t="s">
        <v>21</v>
      </c>
      <c r="C17" s="413" t="s">
        <v>234</v>
      </c>
      <c r="D17" s="414"/>
      <c r="E17" s="414"/>
      <c r="F17" s="414"/>
      <c r="G17" s="414"/>
      <c r="H17" s="414"/>
      <c r="I17" s="415"/>
      <c r="J17" s="428"/>
      <c r="K17" s="428"/>
      <c r="L17" s="258">
        <f>(L13+L15+L20)*58.33%*20%</f>
        <v>243.65747592</v>
      </c>
    </row>
    <row r="18" spans="2:13">
      <c r="B18" s="201" t="s">
        <v>23</v>
      </c>
      <c r="C18" s="413" t="s">
        <v>235</v>
      </c>
      <c r="D18" s="414"/>
      <c r="E18" s="414"/>
      <c r="F18" s="414"/>
      <c r="G18" s="414"/>
      <c r="H18" s="414"/>
      <c r="I18" s="415"/>
      <c r="J18" s="428"/>
      <c r="K18" s="428"/>
      <c r="L18" s="256">
        <f>(L13+L15+L20)*8.33%*1.2</f>
        <v>208.77765552</v>
      </c>
      <c r="M18" s="30"/>
    </row>
    <row r="19" spans="2:13">
      <c r="B19" s="201" t="s">
        <v>6</v>
      </c>
      <c r="C19" s="413" t="s">
        <v>236</v>
      </c>
      <c r="D19" s="414"/>
      <c r="E19" s="414"/>
      <c r="F19" s="414"/>
      <c r="G19" s="414"/>
      <c r="H19" s="414"/>
      <c r="I19" s="415"/>
      <c r="J19" s="134" t="s">
        <v>18</v>
      </c>
      <c r="K19" s="135">
        <v>0</v>
      </c>
      <c r="L19" s="133">
        <v>0</v>
      </c>
      <c r="M19" s="30"/>
    </row>
    <row r="20" spans="2:13">
      <c r="B20" s="201" t="s">
        <v>24</v>
      </c>
      <c r="C20" s="399" t="s">
        <v>331</v>
      </c>
      <c r="D20" s="399"/>
      <c r="E20" s="399"/>
      <c r="F20" s="399"/>
      <c r="G20" s="399"/>
      <c r="H20" s="399"/>
      <c r="I20" s="399"/>
      <c r="J20" s="134" t="s">
        <v>18</v>
      </c>
      <c r="K20" s="135">
        <v>0.05</v>
      </c>
      <c r="L20" s="133">
        <f>L13*K20</f>
        <v>77.355999999999995</v>
      </c>
      <c r="M20" s="30"/>
    </row>
    <row r="21" spans="2:13">
      <c r="B21" s="201" t="s">
        <v>25</v>
      </c>
      <c r="C21" s="416" t="s">
        <v>357</v>
      </c>
      <c r="D21" s="416"/>
      <c r="E21" s="416"/>
      <c r="F21" s="416"/>
      <c r="G21" s="416"/>
      <c r="H21" s="416"/>
      <c r="I21" s="416"/>
      <c r="J21" s="416"/>
      <c r="K21" s="416"/>
      <c r="L21" s="29">
        <f>'Benef. e Insumos'!G40</f>
        <v>80.962196072727281</v>
      </c>
      <c r="M21" s="30"/>
    </row>
    <row r="22" spans="2:13">
      <c r="B22" s="201" t="s">
        <v>168</v>
      </c>
      <c r="C22" s="399" t="s">
        <v>339</v>
      </c>
      <c r="D22" s="399"/>
      <c r="E22" s="399"/>
      <c r="F22" s="399"/>
      <c r="G22" s="399"/>
      <c r="H22" s="399"/>
      <c r="I22" s="399"/>
      <c r="J22" s="399"/>
      <c r="K22" s="399"/>
      <c r="L22" s="29">
        <f>'Benef. e Insumos'!E11</f>
        <v>0</v>
      </c>
      <c r="M22" s="30"/>
    </row>
    <row r="23" spans="2:13">
      <c r="B23" s="417" t="s">
        <v>220</v>
      </c>
      <c r="C23" s="417"/>
      <c r="D23" s="417"/>
      <c r="E23" s="417"/>
      <c r="F23" s="417"/>
      <c r="G23" s="417"/>
      <c r="H23" s="417"/>
      <c r="I23" s="417"/>
      <c r="J23" s="417"/>
      <c r="K23" s="417"/>
      <c r="L23" s="120">
        <f>SUM(L13:L22)</f>
        <v>2622.0093275127265</v>
      </c>
      <c r="M23" s="32"/>
    </row>
    <row r="24" spans="2:13">
      <c r="B24" s="33"/>
      <c r="C24" s="33"/>
      <c r="D24" s="33"/>
      <c r="E24" s="33"/>
      <c r="F24" s="33"/>
      <c r="G24" s="33"/>
      <c r="H24" s="33"/>
      <c r="I24" s="34"/>
      <c r="J24" s="33"/>
      <c r="K24" s="33"/>
    </row>
    <row r="25" spans="2:13">
      <c r="B25" s="409" t="s">
        <v>173</v>
      </c>
      <c r="C25" s="409"/>
      <c r="D25" s="409"/>
      <c r="E25" s="409"/>
      <c r="F25" s="409"/>
      <c r="G25" s="409"/>
      <c r="H25" s="409"/>
      <c r="I25" s="409"/>
      <c r="J25" s="409"/>
      <c r="K25" s="409"/>
      <c r="L25" s="24">
        <f>L11</f>
        <v>0</v>
      </c>
    </row>
    <row r="26" spans="2:13">
      <c r="B26" s="402" t="s">
        <v>240</v>
      </c>
      <c r="C26" s="403"/>
      <c r="D26" s="403"/>
      <c r="E26" s="403"/>
      <c r="F26" s="403"/>
      <c r="G26" s="403"/>
      <c r="H26" s="403"/>
      <c r="I26" s="403"/>
      <c r="J26" s="403"/>
      <c r="K26" s="196" t="s">
        <v>18</v>
      </c>
      <c r="L26" s="29" t="s">
        <v>178</v>
      </c>
    </row>
    <row r="27" spans="2:13">
      <c r="B27" s="201" t="s">
        <v>13</v>
      </c>
      <c r="C27" s="367" t="s">
        <v>241</v>
      </c>
      <c r="D27" s="368"/>
      <c r="E27" s="368"/>
      <c r="F27" s="368"/>
      <c r="G27" s="368"/>
      <c r="H27" s="368"/>
      <c r="I27" s="368"/>
      <c r="J27" s="369"/>
      <c r="K27" s="52">
        <f>1/12</f>
        <v>8.3333333333333329E-2</v>
      </c>
      <c r="L27" s="29">
        <f>K27*L23</f>
        <v>218.50077729272721</v>
      </c>
      <c r="M27" s="132"/>
    </row>
    <row r="28" spans="2:13">
      <c r="B28" s="201" t="s">
        <v>15</v>
      </c>
      <c r="C28" s="367" t="s">
        <v>242</v>
      </c>
      <c r="D28" s="368"/>
      <c r="E28" s="368"/>
      <c r="F28" s="368"/>
      <c r="G28" s="368"/>
      <c r="H28" s="368"/>
      <c r="I28" s="368"/>
      <c r="J28" s="369"/>
      <c r="K28" s="116">
        <f>K68/3</f>
        <v>3.0249999999999999E-2</v>
      </c>
      <c r="L28" s="29">
        <f>K28*L23</f>
        <v>79.315782157259974</v>
      </c>
      <c r="M28" s="132"/>
    </row>
    <row r="29" spans="2:13">
      <c r="B29" s="201" t="s">
        <v>19</v>
      </c>
      <c r="C29" s="203" t="s">
        <v>225</v>
      </c>
      <c r="D29" s="203"/>
      <c r="E29" s="203"/>
      <c r="F29" s="203"/>
      <c r="G29" s="203"/>
      <c r="H29" s="203"/>
      <c r="I29" s="203"/>
      <c r="J29" s="204"/>
      <c r="K29" s="52">
        <f>SUM(K27:K28)</f>
        <v>0.11358333333333333</v>
      </c>
      <c r="L29" s="29">
        <f>SUM(L27:L28)</f>
        <v>297.81655944998715</v>
      </c>
    </row>
    <row r="30" spans="2:13">
      <c r="B30" s="201" t="s">
        <v>21</v>
      </c>
      <c r="C30" s="203" t="s">
        <v>226</v>
      </c>
      <c r="D30" s="203"/>
      <c r="E30" s="203"/>
      <c r="F30" s="131"/>
      <c r="G30" s="203"/>
      <c r="H30" s="203"/>
      <c r="I30" s="203"/>
      <c r="J30" s="204"/>
      <c r="K30" s="52">
        <f>K29*K42</f>
        <v>4.1798666666666678E-2</v>
      </c>
      <c r="L30" s="29">
        <f>K30*L29</f>
        <v>12.448335096263532</v>
      </c>
    </row>
    <row r="31" spans="2:13">
      <c r="B31" s="355" t="s">
        <v>177</v>
      </c>
      <c r="C31" s="356"/>
      <c r="D31" s="356"/>
      <c r="E31" s="356"/>
      <c r="F31" s="356"/>
      <c r="G31" s="356"/>
      <c r="H31" s="356"/>
      <c r="I31" s="356"/>
      <c r="J31" s="357"/>
      <c r="K31" s="121"/>
      <c r="L31" s="122">
        <f>SUM(L29:L30)</f>
        <v>310.26489454625067</v>
      </c>
    </row>
    <row r="32" spans="2:13">
      <c r="B32" s="348"/>
      <c r="C32" s="348"/>
      <c r="D32" s="348"/>
      <c r="E32" s="348"/>
      <c r="F32" s="348"/>
      <c r="G32" s="348"/>
      <c r="H32" s="348"/>
      <c r="I32" s="348"/>
      <c r="J32" s="348"/>
      <c r="K32" s="348"/>
      <c r="L32" s="348"/>
    </row>
    <row r="33" spans="2:20">
      <c r="B33" s="402" t="s">
        <v>179</v>
      </c>
      <c r="C33" s="403"/>
      <c r="D33" s="403"/>
      <c r="E33" s="403"/>
      <c r="F33" s="403"/>
      <c r="G33" s="403"/>
      <c r="H33" s="403"/>
      <c r="I33" s="403"/>
      <c r="J33" s="403"/>
      <c r="K33" s="196" t="s">
        <v>18</v>
      </c>
      <c r="L33" s="29" t="s">
        <v>178</v>
      </c>
    </row>
    <row r="34" spans="2:20" ht="15" customHeight="1">
      <c r="B34" s="201" t="s">
        <v>13</v>
      </c>
      <c r="C34" s="349" t="s">
        <v>243</v>
      </c>
      <c r="D34" s="349"/>
      <c r="E34" s="349"/>
      <c r="F34" s="349"/>
      <c r="G34" s="349"/>
      <c r="H34" s="349"/>
      <c r="I34" s="349"/>
      <c r="J34" s="349"/>
      <c r="K34" s="215">
        <v>0.2</v>
      </c>
      <c r="L34" s="45">
        <f>ROUND($K$34*L23,2)</f>
        <v>524.4</v>
      </c>
    </row>
    <row r="35" spans="2:20">
      <c r="B35" s="201" t="s">
        <v>15</v>
      </c>
      <c r="C35" s="349" t="s">
        <v>244</v>
      </c>
      <c r="D35" s="349"/>
      <c r="E35" s="349"/>
      <c r="F35" s="349"/>
      <c r="G35" s="349"/>
      <c r="H35" s="349"/>
      <c r="I35" s="349"/>
      <c r="J35" s="349"/>
      <c r="K35" s="215">
        <v>1.4999999999999999E-2</v>
      </c>
      <c r="L35" s="45">
        <f>ROUND($K$35*L23,2)</f>
        <v>39.33</v>
      </c>
    </row>
    <row r="36" spans="2:20">
      <c r="B36" s="201" t="s">
        <v>19</v>
      </c>
      <c r="C36" s="349" t="s">
        <v>245</v>
      </c>
      <c r="D36" s="349"/>
      <c r="E36" s="349"/>
      <c r="F36" s="349"/>
      <c r="G36" s="349"/>
      <c r="H36" s="349"/>
      <c r="I36" s="349"/>
      <c r="J36" s="349"/>
      <c r="K36" s="215">
        <v>0.01</v>
      </c>
      <c r="L36" s="45">
        <f t="shared" ref="L36:L41" si="0">ROUND(K36*$L$23,2)</f>
        <v>26.22</v>
      </c>
      <c r="M36" s="339" t="s">
        <v>298</v>
      </c>
      <c r="N36" s="340"/>
      <c r="O36" s="340"/>
    </row>
    <row r="37" spans="2:20">
      <c r="B37" s="201" t="s">
        <v>21</v>
      </c>
      <c r="C37" s="349" t="s">
        <v>246</v>
      </c>
      <c r="D37" s="349"/>
      <c r="E37" s="349"/>
      <c r="F37" s="349"/>
      <c r="G37" s="349"/>
      <c r="H37" s="349"/>
      <c r="I37" s="349"/>
      <c r="J37" s="349"/>
      <c r="K37" s="215">
        <v>2E-3</v>
      </c>
      <c r="L37" s="45">
        <f t="shared" si="0"/>
        <v>5.24</v>
      </c>
      <c r="M37" s="339"/>
      <c r="N37" s="340"/>
      <c r="O37" s="340"/>
    </row>
    <row r="38" spans="2:20">
      <c r="B38" s="201" t="s">
        <v>23</v>
      </c>
      <c r="C38" s="349" t="s">
        <v>247</v>
      </c>
      <c r="D38" s="349"/>
      <c r="E38" s="349"/>
      <c r="F38" s="349"/>
      <c r="G38" s="349"/>
      <c r="H38" s="349"/>
      <c r="I38" s="349"/>
      <c r="J38" s="349"/>
      <c r="K38" s="215">
        <v>2.5000000000000001E-2</v>
      </c>
      <c r="L38" s="45">
        <f t="shared" si="0"/>
        <v>65.55</v>
      </c>
      <c r="M38" s="339"/>
      <c r="N38" s="340"/>
      <c r="O38" s="340"/>
    </row>
    <row r="39" spans="2:20">
      <c r="B39" s="201" t="s">
        <v>6</v>
      </c>
      <c r="C39" s="336" t="s">
        <v>248</v>
      </c>
      <c r="D39" s="337"/>
      <c r="E39" s="337"/>
      <c r="F39" s="337"/>
      <c r="G39" s="337"/>
      <c r="H39" s="337"/>
      <c r="I39" s="337"/>
      <c r="J39" s="338"/>
      <c r="K39" s="215">
        <v>0.08</v>
      </c>
      <c r="L39" s="45">
        <f t="shared" si="0"/>
        <v>209.76</v>
      </c>
      <c r="M39" s="339"/>
      <c r="N39" s="340"/>
      <c r="O39" s="340"/>
    </row>
    <row r="40" spans="2:20">
      <c r="B40" s="201" t="s">
        <v>24</v>
      </c>
      <c r="C40" s="336" t="s">
        <v>31</v>
      </c>
      <c r="D40" s="337"/>
      <c r="E40" s="337"/>
      <c r="F40" s="338"/>
      <c r="G40" s="199" t="s">
        <v>32</v>
      </c>
      <c r="H40" s="194">
        <v>0.03</v>
      </c>
      <c r="I40" s="148" t="s">
        <v>33</v>
      </c>
      <c r="J40" s="193">
        <v>1</v>
      </c>
      <c r="K40" s="216">
        <f>H40*J40</f>
        <v>0.03</v>
      </c>
      <c r="L40" s="45">
        <f t="shared" si="0"/>
        <v>78.66</v>
      </c>
      <c r="M40" s="339"/>
      <c r="N40" s="340"/>
      <c r="O40" s="340"/>
    </row>
    <row r="41" spans="2:20">
      <c r="B41" s="201" t="s">
        <v>25</v>
      </c>
      <c r="C41" s="349" t="s">
        <v>249</v>
      </c>
      <c r="D41" s="349"/>
      <c r="E41" s="349"/>
      <c r="F41" s="349"/>
      <c r="G41" s="349"/>
      <c r="H41" s="349"/>
      <c r="I41" s="349"/>
      <c r="J41" s="349"/>
      <c r="K41" s="215">
        <v>6.0000000000000001E-3</v>
      </c>
      <c r="L41" s="45">
        <f t="shared" si="0"/>
        <v>15.73</v>
      </c>
      <c r="M41" s="339"/>
      <c r="N41" s="340"/>
      <c r="O41" s="340"/>
      <c r="P41" s="19"/>
      <c r="Q41" s="19"/>
      <c r="R41" s="19"/>
      <c r="S41" s="19"/>
      <c r="T41" s="19"/>
    </row>
    <row r="42" spans="2:20">
      <c r="B42" s="355" t="s">
        <v>181</v>
      </c>
      <c r="C42" s="356"/>
      <c r="D42" s="356"/>
      <c r="E42" s="356"/>
      <c r="F42" s="356"/>
      <c r="G42" s="356"/>
      <c r="H42" s="356"/>
      <c r="I42" s="356"/>
      <c r="J42" s="357"/>
      <c r="K42" s="214">
        <f>SUM(K34:K41)</f>
        <v>0.3680000000000001</v>
      </c>
      <c r="L42" s="122">
        <f>SUM(L34:L41)</f>
        <v>964.89</v>
      </c>
      <c r="M42" s="339"/>
      <c r="N42" s="340"/>
      <c r="O42" s="340"/>
      <c r="P42" s="19"/>
      <c r="Q42" s="19"/>
      <c r="R42" s="19"/>
      <c r="S42" s="19"/>
      <c r="T42" s="19"/>
    </row>
    <row r="43" spans="2:20">
      <c r="B43" s="348"/>
      <c r="C43" s="348"/>
      <c r="D43" s="348"/>
      <c r="E43" s="348"/>
      <c r="F43" s="348"/>
      <c r="G43" s="348"/>
      <c r="H43" s="348"/>
      <c r="I43" s="348"/>
      <c r="J43" s="348"/>
      <c r="K43" s="348"/>
      <c r="L43" s="348"/>
      <c r="M43" s="19"/>
      <c r="N43" s="19"/>
      <c r="O43" s="19"/>
      <c r="P43" s="19"/>
      <c r="Q43" s="19"/>
      <c r="R43" s="19"/>
      <c r="S43" s="19"/>
      <c r="T43" s="19"/>
    </row>
    <row r="44" spans="2:20">
      <c r="B44" s="402" t="s">
        <v>182</v>
      </c>
      <c r="C44" s="403"/>
      <c r="D44" s="403"/>
      <c r="E44" s="403"/>
      <c r="F44" s="403"/>
      <c r="G44" s="403"/>
      <c r="H44" s="403"/>
      <c r="I44" s="403"/>
      <c r="J44" s="403"/>
      <c r="K44" s="196"/>
      <c r="L44" s="29" t="s">
        <v>178</v>
      </c>
    </row>
    <row r="45" spans="2:20">
      <c r="B45" s="201" t="s">
        <v>13</v>
      </c>
      <c r="C45" s="367" t="str">
        <f>'Benef. e Insumos'!B13</f>
        <v>CLÁUSULA SÉTIMA - TÍQUETE REFEIÇÃO</v>
      </c>
      <c r="D45" s="368"/>
      <c r="E45" s="368"/>
      <c r="F45" s="368"/>
      <c r="G45" s="368"/>
      <c r="H45" s="368"/>
      <c r="I45" s="368"/>
      <c r="J45" s="369"/>
      <c r="K45" s="198"/>
      <c r="L45" s="127">
        <f>'Benef. e Insumos'!H17</f>
        <v>300.12</v>
      </c>
    </row>
    <row r="46" spans="2:20" ht="15" customHeight="1">
      <c r="B46" s="201" t="s">
        <v>15</v>
      </c>
      <c r="C46" s="336" t="str">
        <f>'Benef. e Insumos'!B27</f>
        <v xml:space="preserve"> AUXÍLIO TRANSPORTE</v>
      </c>
      <c r="D46" s="337"/>
      <c r="E46" s="337"/>
      <c r="F46" s="337"/>
      <c r="G46" s="337"/>
      <c r="H46" s="337"/>
      <c r="I46" s="337"/>
      <c r="J46" s="338"/>
      <c r="K46" s="205"/>
      <c r="L46" s="29">
        <f>'Benef. e Insumos'!G29</f>
        <v>21.172800000000009</v>
      </c>
    </row>
    <row r="47" spans="2:20" ht="15" customHeight="1">
      <c r="B47" s="201" t="s">
        <v>19</v>
      </c>
      <c r="C47" s="336" t="s">
        <v>332</v>
      </c>
      <c r="D47" s="337"/>
      <c r="E47" s="337"/>
      <c r="F47" s="337"/>
      <c r="G47" s="337"/>
      <c r="H47" s="337"/>
      <c r="I47" s="337"/>
      <c r="J47" s="338"/>
      <c r="K47" s="205"/>
      <c r="L47" s="26">
        <f>'Benef. e Insumos'!H24</f>
        <v>135.03299999999999</v>
      </c>
    </row>
    <row r="48" spans="2:20" ht="15" customHeight="1">
      <c r="B48" s="201" t="s">
        <v>21</v>
      </c>
      <c r="C48" s="336" t="s">
        <v>302</v>
      </c>
      <c r="D48" s="337"/>
      <c r="E48" s="337"/>
      <c r="F48" s="337"/>
      <c r="G48" s="337"/>
      <c r="H48" s="337"/>
      <c r="I48" s="337"/>
      <c r="J48" s="338"/>
      <c r="K48" s="205"/>
      <c r="L48" s="26">
        <v>7.05</v>
      </c>
    </row>
    <row r="49" spans="1:13">
      <c r="B49" s="201" t="s">
        <v>23</v>
      </c>
      <c r="C49" s="374" t="s">
        <v>3</v>
      </c>
      <c r="D49" s="375"/>
      <c r="E49" s="375"/>
      <c r="F49" s="375"/>
      <c r="G49" s="375"/>
      <c r="H49" s="375"/>
      <c r="I49" s="375"/>
      <c r="J49" s="375"/>
      <c r="K49" s="139"/>
      <c r="L49" s="138">
        <v>0</v>
      </c>
    </row>
    <row r="50" spans="1:13">
      <c r="B50" s="355" t="s">
        <v>184</v>
      </c>
      <c r="C50" s="356"/>
      <c r="D50" s="356"/>
      <c r="E50" s="356"/>
      <c r="F50" s="356"/>
      <c r="G50" s="356"/>
      <c r="H50" s="356"/>
      <c r="I50" s="356"/>
      <c r="J50" s="356"/>
      <c r="K50" s="357"/>
      <c r="L50" s="122">
        <f>SUM(L45:L49)</f>
        <v>463.37579999999997</v>
      </c>
    </row>
    <row r="51" spans="1:13">
      <c r="B51" s="348"/>
      <c r="C51" s="348"/>
      <c r="D51" s="348"/>
      <c r="E51" s="348"/>
      <c r="F51" s="348"/>
      <c r="G51" s="348"/>
      <c r="H51" s="348"/>
      <c r="I51" s="348"/>
      <c r="J51" s="348"/>
      <c r="K51" s="348"/>
      <c r="L51" s="348"/>
    </row>
    <row r="52" spans="1:13">
      <c r="B52" s="393" t="s">
        <v>185</v>
      </c>
      <c r="C52" s="393"/>
      <c r="D52" s="393"/>
      <c r="E52" s="393"/>
      <c r="F52" s="393"/>
      <c r="G52" s="393"/>
      <c r="H52" s="393"/>
      <c r="I52" s="393"/>
      <c r="J52" s="393"/>
      <c r="K52" s="393"/>
      <c r="L52" s="24">
        <f>L11</f>
        <v>0</v>
      </c>
    </row>
    <row r="53" spans="1:13">
      <c r="B53" s="201" t="s">
        <v>186</v>
      </c>
      <c r="C53" s="367" t="s">
        <v>189</v>
      </c>
      <c r="D53" s="368"/>
      <c r="E53" s="368"/>
      <c r="F53" s="368"/>
      <c r="G53" s="368"/>
      <c r="H53" s="368"/>
      <c r="I53" s="368"/>
      <c r="J53" s="369"/>
      <c r="K53" s="198"/>
      <c r="L53" s="29">
        <f>L31</f>
        <v>310.26489454625067</v>
      </c>
    </row>
    <row r="54" spans="1:13">
      <c r="B54" s="201" t="s">
        <v>187</v>
      </c>
      <c r="C54" s="367" t="s">
        <v>190</v>
      </c>
      <c r="D54" s="368"/>
      <c r="E54" s="368"/>
      <c r="F54" s="368"/>
      <c r="G54" s="368"/>
      <c r="H54" s="368"/>
      <c r="I54" s="368"/>
      <c r="J54" s="369"/>
      <c r="K54" s="198"/>
      <c r="L54" s="29">
        <f>L42</f>
        <v>964.89</v>
      </c>
    </row>
    <row r="55" spans="1:13">
      <c r="B55" s="201" t="s">
        <v>188</v>
      </c>
      <c r="C55" s="367" t="s">
        <v>192</v>
      </c>
      <c r="D55" s="368"/>
      <c r="E55" s="368"/>
      <c r="F55" s="368"/>
      <c r="G55" s="368"/>
      <c r="H55" s="368"/>
      <c r="I55" s="368"/>
      <c r="J55" s="369"/>
      <c r="K55" s="198"/>
      <c r="L55" s="29">
        <f>L50</f>
        <v>463.37579999999997</v>
      </c>
    </row>
    <row r="56" spans="1:13">
      <c r="B56" s="355" t="s">
        <v>191</v>
      </c>
      <c r="C56" s="356"/>
      <c r="D56" s="356"/>
      <c r="E56" s="356"/>
      <c r="F56" s="356"/>
      <c r="G56" s="356"/>
      <c r="H56" s="356"/>
      <c r="I56" s="356"/>
      <c r="J56" s="356"/>
      <c r="K56" s="357"/>
      <c r="L56" s="122">
        <f>SUM(L53:L55)</f>
        <v>1738.5306945462507</v>
      </c>
    </row>
    <row r="57" spans="1:13">
      <c r="A57" s="157"/>
      <c r="B57" s="376"/>
      <c r="C57" s="376"/>
      <c r="D57" s="376"/>
      <c r="E57" s="376"/>
      <c r="F57" s="376"/>
      <c r="G57" s="376"/>
      <c r="H57" s="376"/>
      <c r="I57" s="376"/>
      <c r="J57" s="376"/>
      <c r="K57" s="376"/>
      <c r="L57" s="158"/>
      <c r="M57" s="157"/>
    </row>
    <row r="58" spans="1:13">
      <c r="B58" s="409" t="s">
        <v>183</v>
      </c>
      <c r="C58" s="409"/>
      <c r="D58" s="409"/>
      <c r="E58" s="409"/>
      <c r="F58" s="409"/>
      <c r="G58" s="409"/>
      <c r="H58" s="409"/>
      <c r="I58" s="409"/>
      <c r="J58" s="409"/>
      <c r="K58" s="117" t="s">
        <v>18</v>
      </c>
      <c r="L58" s="118" t="s">
        <v>178</v>
      </c>
    </row>
    <row r="59" spans="1:13">
      <c r="B59" s="201" t="s">
        <v>13</v>
      </c>
      <c r="C59" s="349" t="s">
        <v>271</v>
      </c>
      <c r="D59" s="349"/>
      <c r="E59" s="349"/>
      <c r="F59" s="349"/>
      <c r="G59" s="349"/>
      <c r="H59" s="349"/>
      <c r="I59" s="149">
        <v>30</v>
      </c>
      <c r="J59" s="150">
        <v>5.5500000000000001E-2</v>
      </c>
      <c r="K59" s="52">
        <f>I59/30/12*J59</f>
        <v>4.6249999999999998E-3</v>
      </c>
      <c r="L59" s="29">
        <f>ROUND(K59*$L$23,2)</f>
        <v>12.13</v>
      </c>
      <c r="M59" s="132"/>
    </row>
    <row r="60" spans="1:13">
      <c r="B60" s="201" t="s">
        <v>15</v>
      </c>
      <c r="C60" s="349" t="s">
        <v>36</v>
      </c>
      <c r="D60" s="349"/>
      <c r="E60" s="349"/>
      <c r="F60" s="349"/>
      <c r="G60" s="349"/>
      <c r="H60" s="349"/>
      <c r="I60" s="349"/>
      <c r="J60" s="349"/>
      <c r="K60" s="116">
        <f>K39*K59</f>
        <v>3.6999999999999999E-4</v>
      </c>
      <c r="L60" s="29">
        <f>ROUND(K60*$L$23,2)</f>
        <v>0.97</v>
      </c>
      <c r="M60" s="132"/>
    </row>
    <row r="61" spans="1:13">
      <c r="B61" s="201" t="s">
        <v>19</v>
      </c>
      <c r="C61" s="349" t="s">
        <v>196</v>
      </c>
      <c r="D61" s="349"/>
      <c r="E61" s="349"/>
      <c r="F61" s="349"/>
      <c r="G61" s="349"/>
      <c r="H61" s="349"/>
      <c r="I61" s="349"/>
      <c r="J61" s="349"/>
      <c r="K61" s="52">
        <f>(1/30)/12*7</f>
        <v>1.9444444444444445E-2</v>
      </c>
      <c r="L61" s="29">
        <f>ROUND(K61*$L$23,2)</f>
        <v>50.98</v>
      </c>
    </row>
    <row r="62" spans="1:13">
      <c r="B62" s="201" t="s">
        <v>21</v>
      </c>
      <c r="C62" s="349" t="s">
        <v>195</v>
      </c>
      <c r="D62" s="349"/>
      <c r="E62" s="349"/>
      <c r="F62" s="349"/>
      <c r="G62" s="349"/>
      <c r="H62" s="349"/>
      <c r="I62" s="349"/>
      <c r="J62" s="349"/>
      <c r="K62" s="116">
        <f>(K42*K61)</f>
        <v>7.1555555555555574E-3</v>
      </c>
      <c r="L62" s="29">
        <f>ROUND(K62*$L$23,2)</f>
        <v>18.760000000000002</v>
      </c>
    </row>
    <row r="63" spans="1:13">
      <c r="B63" s="201" t="s">
        <v>23</v>
      </c>
      <c r="C63" s="203" t="s">
        <v>263</v>
      </c>
      <c r="D63" s="203"/>
      <c r="E63" s="203"/>
      <c r="F63" s="203"/>
      <c r="G63" s="203"/>
      <c r="H63" s="203"/>
      <c r="I63" s="203"/>
      <c r="J63" s="204"/>
      <c r="K63" s="116">
        <v>0.05</v>
      </c>
      <c r="L63" s="29">
        <f>ROUND(K63*$L$23,2)</f>
        <v>131.1</v>
      </c>
    </row>
    <row r="64" spans="1:13" ht="15" customHeight="1">
      <c r="B64" s="355" t="s">
        <v>193</v>
      </c>
      <c r="C64" s="356"/>
      <c r="D64" s="356"/>
      <c r="E64" s="356"/>
      <c r="F64" s="356"/>
      <c r="G64" s="356"/>
      <c r="H64" s="356"/>
      <c r="I64" s="356"/>
      <c r="J64" s="356"/>
      <c r="K64" s="357"/>
      <c r="L64" s="122">
        <f>SUM(L59:L63)</f>
        <v>213.94</v>
      </c>
    </row>
    <row r="65" spans="2:13">
      <c r="B65" s="377"/>
      <c r="C65" s="377"/>
      <c r="D65" s="377"/>
      <c r="E65" s="377"/>
      <c r="F65" s="377"/>
      <c r="G65" s="377"/>
      <c r="H65" s="377"/>
      <c r="I65" s="377"/>
      <c r="J65" s="377"/>
      <c r="K65" s="377"/>
      <c r="L65" s="159"/>
      <c r="M65" s="157"/>
    </row>
    <row r="66" spans="2:13">
      <c r="B66" s="352" t="s">
        <v>198</v>
      </c>
      <c r="C66" s="353"/>
      <c r="D66" s="353"/>
      <c r="E66" s="353"/>
      <c r="F66" s="353"/>
      <c r="G66" s="353"/>
      <c r="H66" s="353"/>
      <c r="I66" s="353"/>
      <c r="J66" s="353"/>
      <c r="K66" s="354"/>
      <c r="L66" s="118"/>
    </row>
    <row r="67" spans="2:13">
      <c r="B67" s="407" t="s">
        <v>203</v>
      </c>
      <c r="C67" s="408"/>
      <c r="D67" s="408"/>
      <c r="E67" s="408"/>
      <c r="F67" s="408"/>
      <c r="G67" s="408"/>
      <c r="H67" s="408"/>
      <c r="I67" s="408"/>
      <c r="J67" s="408"/>
      <c r="K67" s="196" t="s">
        <v>18</v>
      </c>
      <c r="L67" s="29" t="s">
        <v>178</v>
      </c>
    </row>
    <row r="68" spans="2:13">
      <c r="B68" s="201" t="s">
        <v>13</v>
      </c>
      <c r="C68" s="384" t="s">
        <v>199</v>
      </c>
      <c r="D68" s="384"/>
      <c r="E68" s="384"/>
      <c r="F68" s="384"/>
      <c r="G68" s="384"/>
      <c r="H68" s="384"/>
      <c r="I68" s="384"/>
      <c r="J68" s="384"/>
      <c r="K68" s="161">
        <v>9.0749999999999997E-2</v>
      </c>
      <c r="L68" s="29">
        <f>K68*$L$23</f>
        <v>237.94734647177992</v>
      </c>
    </row>
    <row r="69" spans="2:13">
      <c r="B69" s="201" t="s">
        <v>15</v>
      </c>
      <c r="C69" s="162" t="s">
        <v>200</v>
      </c>
      <c r="D69" s="163"/>
      <c r="E69" s="163"/>
      <c r="F69" s="163"/>
      <c r="G69" s="410" t="s">
        <v>266</v>
      </c>
      <c r="H69" s="410"/>
      <c r="I69" s="410"/>
      <c r="J69" s="164"/>
      <c r="K69" s="59">
        <f>5.96/365</f>
        <v>1.6328767123287673E-2</v>
      </c>
      <c r="L69" s="29">
        <f>K69*$L$23</f>
        <v>42.814179704043426</v>
      </c>
      <c r="M69" s="98"/>
    </row>
    <row r="70" spans="2:13">
      <c r="B70" s="201" t="s">
        <v>19</v>
      </c>
      <c r="C70" s="349" t="s">
        <v>288</v>
      </c>
      <c r="D70" s="349"/>
      <c r="E70" s="349"/>
      <c r="F70" s="349"/>
      <c r="G70" s="411" t="s">
        <v>267</v>
      </c>
      <c r="H70" s="411"/>
      <c r="I70" s="155">
        <v>1.4999999999999999E-2</v>
      </c>
      <c r="J70" s="156">
        <v>5</v>
      </c>
      <c r="K70" s="59">
        <f>J70/30/12*I70</f>
        <v>2.0833333333333332E-4</v>
      </c>
      <c r="L70" s="29">
        <f>K70*$L$23</f>
        <v>0.54625194323181803</v>
      </c>
    </row>
    <row r="71" spans="2:13">
      <c r="B71" s="201" t="s">
        <v>21</v>
      </c>
      <c r="C71" s="367" t="s">
        <v>201</v>
      </c>
      <c r="D71" s="368"/>
      <c r="E71" s="368"/>
      <c r="F71" s="368"/>
      <c r="G71" s="368"/>
      <c r="H71" s="368"/>
      <c r="I71" s="368"/>
      <c r="J71" s="369"/>
      <c r="K71" s="59">
        <f>((15/30)/12)*0.08</f>
        <v>3.3333333333333331E-3</v>
      </c>
      <c r="L71" s="29">
        <f>K71*$L$23</f>
        <v>8.7400310917090884</v>
      </c>
    </row>
    <row r="72" spans="2:13">
      <c r="B72" s="201" t="s">
        <v>23</v>
      </c>
      <c r="C72" s="367" t="s">
        <v>202</v>
      </c>
      <c r="D72" s="368"/>
      <c r="E72" s="368"/>
      <c r="F72" s="368"/>
      <c r="G72" s="368"/>
      <c r="H72" s="368"/>
      <c r="I72" s="368"/>
      <c r="J72" s="369"/>
      <c r="K72" s="160">
        <f>(0.02*(4/12)/12)</f>
        <v>5.5555555555555556E-4</v>
      </c>
      <c r="L72" s="29">
        <f>K72*$L$23</f>
        <v>1.4566718486181813</v>
      </c>
      <c r="M72" s="82"/>
    </row>
    <row r="73" spans="2:13">
      <c r="B73" s="201" t="s">
        <v>6</v>
      </c>
      <c r="C73" s="202" t="s">
        <v>265</v>
      </c>
      <c r="D73" s="203"/>
      <c r="E73" s="203"/>
      <c r="F73" s="203"/>
      <c r="G73" s="203"/>
      <c r="H73" s="203"/>
      <c r="I73" s="203"/>
      <c r="J73" s="204"/>
      <c r="K73" s="59">
        <f>SUM(K68:K72)</f>
        <v>0.1111759893455099</v>
      </c>
      <c r="L73" s="29">
        <f>SUM(L68:L72)</f>
        <v>291.50448105938244</v>
      </c>
      <c r="M73" s="82"/>
    </row>
    <row r="74" spans="2:13">
      <c r="B74" s="201" t="s">
        <v>24</v>
      </c>
      <c r="C74" s="399" t="s">
        <v>264</v>
      </c>
      <c r="D74" s="399"/>
      <c r="E74" s="399" t="s">
        <v>40</v>
      </c>
      <c r="F74" s="399"/>
      <c r="G74" s="399"/>
      <c r="H74" s="399"/>
      <c r="I74" s="399"/>
      <c r="J74" s="399"/>
      <c r="K74" s="141">
        <f>K42*K73</f>
        <v>4.0912764079147658E-2</v>
      </c>
      <c r="L74" s="29">
        <f>L73*K74</f>
        <v>11.926254061596881</v>
      </c>
      <c r="M74" s="82"/>
    </row>
    <row r="75" spans="2:13">
      <c r="B75" s="355" t="s">
        <v>204</v>
      </c>
      <c r="C75" s="356"/>
      <c r="D75" s="356"/>
      <c r="E75" s="356"/>
      <c r="F75" s="356"/>
      <c r="G75" s="356"/>
      <c r="H75" s="356"/>
      <c r="I75" s="356"/>
      <c r="J75" s="356"/>
      <c r="K75" s="357"/>
      <c r="L75" s="122">
        <f>SUM(L73:L74)</f>
        <v>303.43073512097931</v>
      </c>
    </row>
    <row r="76" spans="2:13">
      <c r="B76" s="348"/>
      <c r="C76" s="348"/>
      <c r="D76" s="348"/>
      <c r="E76" s="348"/>
      <c r="F76" s="348"/>
      <c r="G76" s="348"/>
      <c r="H76" s="348"/>
      <c r="I76" s="348"/>
      <c r="J76" s="348"/>
      <c r="K76" s="348"/>
      <c r="L76" s="348"/>
    </row>
    <row r="77" spans="2:13">
      <c r="B77" s="407" t="s">
        <v>205</v>
      </c>
      <c r="C77" s="408"/>
      <c r="D77" s="408"/>
      <c r="E77" s="408"/>
      <c r="F77" s="408"/>
      <c r="G77" s="408"/>
      <c r="H77" s="408"/>
      <c r="I77" s="408"/>
      <c r="J77" s="408"/>
      <c r="K77" s="196" t="s">
        <v>18</v>
      </c>
      <c r="L77" s="29" t="s">
        <v>178</v>
      </c>
    </row>
    <row r="78" spans="2:13">
      <c r="B78" s="201" t="s">
        <v>13</v>
      </c>
      <c r="C78" s="384" t="s">
        <v>206</v>
      </c>
      <c r="D78" s="384"/>
      <c r="E78" s="384"/>
      <c r="F78" s="384"/>
      <c r="G78" s="384"/>
      <c r="H78" s="384"/>
      <c r="I78" s="384"/>
      <c r="J78" s="384"/>
      <c r="K78" s="59">
        <v>0</v>
      </c>
      <c r="L78" s="29">
        <f>K78*$L$23</f>
        <v>0</v>
      </c>
    </row>
    <row r="79" spans="2:13">
      <c r="B79" s="355" t="s">
        <v>207</v>
      </c>
      <c r="C79" s="356"/>
      <c r="D79" s="356"/>
      <c r="E79" s="356"/>
      <c r="F79" s="356"/>
      <c r="G79" s="356"/>
      <c r="H79" s="356"/>
      <c r="I79" s="356"/>
      <c r="J79" s="356"/>
      <c r="K79" s="357"/>
      <c r="L79" s="122">
        <f>SUM(L78:L78)</f>
        <v>0</v>
      </c>
    </row>
    <row r="80" spans="2:13">
      <c r="B80" s="348"/>
      <c r="C80" s="348"/>
      <c r="D80" s="348"/>
      <c r="E80" s="348"/>
      <c r="F80" s="348"/>
      <c r="G80" s="348"/>
      <c r="H80" s="348"/>
      <c r="I80" s="348"/>
      <c r="J80" s="348"/>
      <c r="K80" s="348"/>
      <c r="L80" s="348"/>
    </row>
    <row r="81" spans="2:15">
      <c r="B81" s="393" t="s">
        <v>208</v>
      </c>
      <c r="C81" s="393"/>
      <c r="D81" s="393"/>
      <c r="E81" s="393"/>
      <c r="F81" s="393"/>
      <c r="G81" s="393"/>
      <c r="H81" s="393"/>
      <c r="I81" s="393"/>
      <c r="J81" s="393"/>
      <c r="K81" s="393"/>
      <c r="L81" s="118" t="s">
        <v>178</v>
      </c>
    </row>
    <row r="82" spans="2:15">
      <c r="B82" s="201" t="s">
        <v>209</v>
      </c>
      <c r="C82" s="367" t="s">
        <v>200</v>
      </c>
      <c r="D82" s="368"/>
      <c r="E82" s="368"/>
      <c r="F82" s="368"/>
      <c r="G82" s="368"/>
      <c r="H82" s="368"/>
      <c r="I82" s="368"/>
      <c r="J82" s="368"/>
      <c r="K82" s="369"/>
      <c r="L82" s="29">
        <f>L75</f>
        <v>303.43073512097931</v>
      </c>
    </row>
    <row r="83" spans="2:15">
      <c r="B83" s="201" t="s">
        <v>210</v>
      </c>
      <c r="C83" s="367" t="s">
        <v>211</v>
      </c>
      <c r="D83" s="368"/>
      <c r="E83" s="368"/>
      <c r="F83" s="368"/>
      <c r="G83" s="368"/>
      <c r="H83" s="368"/>
      <c r="I83" s="368"/>
      <c r="J83" s="368"/>
      <c r="K83" s="369"/>
      <c r="L83" s="29">
        <f>L79</f>
        <v>0</v>
      </c>
    </row>
    <row r="84" spans="2:15">
      <c r="B84" s="355" t="s">
        <v>212</v>
      </c>
      <c r="C84" s="356"/>
      <c r="D84" s="356"/>
      <c r="E84" s="356"/>
      <c r="F84" s="356"/>
      <c r="G84" s="356"/>
      <c r="H84" s="356"/>
      <c r="I84" s="356"/>
      <c r="J84" s="356"/>
      <c r="K84" s="357"/>
      <c r="L84" s="122">
        <f>SUM(L82:L83)</f>
        <v>303.43073512097931</v>
      </c>
    </row>
    <row r="85" spans="2:15">
      <c r="B85" s="350"/>
      <c r="C85" s="351"/>
      <c r="D85" s="351"/>
      <c r="E85" s="351"/>
      <c r="F85" s="351"/>
      <c r="G85" s="351"/>
      <c r="H85" s="351"/>
      <c r="I85" s="351"/>
      <c r="J85" s="351"/>
      <c r="K85" s="351"/>
      <c r="L85" s="351"/>
    </row>
    <row r="86" spans="2:15">
      <c r="B86" s="352" t="s">
        <v>213</v>
      </c>
      <c r="C86" s="353"/>
      <c r="D86" s="353"/>
      <c r="E86" s="353"/>
      <c r="F86" s="353"/>
      <c r="G86" s="353"/>
      <c r="H86" s="353"/>
      <c r="I86" s="353"/>
      <c r="J86" s="353"/>
      <c r="K86" s="354"/>
      <c r="L86" s="118" t="s">
        <v>178</v>
      </c>
      <c r="M86" s="40"/>
    </row>
    <row r="87" spans="2:15">
      <c r="B87" s="201" t="s">
        <v>13</v>
      </c>
      <c r="C87" s="427" t="s">
        <v>66</v>
      </c>
      <c r="D87" s="427"/>
      <c r="E87" s="427"/>
      <c r="F87" s="427"/>
      <c r="G87" s="427"/>
      <c r="H87" s="427"/>
      <c r="I87" s="427"/>
      <c r="J87" s="427"/>
      <c r="K87" s="427"/>
      <c r="L87" s="26">
        <f>'Benef. e Insumos'!H55</f>
        <v>22.289375</v>
      </c>
    </row>
    <row r="88" spans="2:15">
      <c r="B88" s="201" t="s">
        <v>15</v>
      </c>
      <c r="C88" s="374" t="s">
        <v>295</v>
      </c>
      <c r="D88" s="375"/>
      <c r="E88" s="375"/>
      <c r="F88" s="375"/>
      <c r="G88" s="375"/>
      <c r="H88" s="375"/>
      <c r="I88" s="375"/>
      <c r="J88" s="375"/>
      <c r="K88" s="426"/>
      <c r="L88" s="192">
        <f>'Benef. e Insumos'!H70</f>
        <v>69.30364583333332</v>
      </c>
      <c r="M88" s="41"/>
      <c r="N88" s="82"/>
    </row>
    <row r="89" spans="2:15">
      <c r="B89" s="355" t="s">
        <v>219</v>
      </c>
      <c r="C89" s="356"/>
      <c r="D89" s="356"/>
      <c r="E89" s="356"/>
      <c r="F89" s="356"/>
      <c r="G89" s="356"/>
      <c r="H89" s="356"/>
      <c r="I89" s="356"/>
      <c r="J89" s="356"/>
      <c r="K89" s="357"/>
      <c r="L89" s="122">
        <f>SUM(L87:L88)</f>
        <v>91.593020833333327</v>
      </c>
    </row>
    <row r="90" spans="2:15">
      <c r="B90" s="42"/>
      <c r="C90" s="42"/>
      <c r="D90" s="42"/>
      <c r="E90" s="42"/>
      <c r="F90" s="42"/>
      <c r="G90" s="42"/>
      <c r="H90" s="42"/>
      <c r="I90" s="200"/>
      <c r="J90" s="42"/>
      <c r="K90" s="42"/>
    </row>
    <row r="91" spans="2:15">
      <c r="B91" s="409" t="s">
        <v>217</v>
      </c>
      <c r="C91" s="409"/>
      <c r="D91" s="409"/>
      <c r="E91" s="409"/>
      <c r="F91" s="409"/>
      <c r="G91" s="409"/>
      <c r="H91" s="409"/>
      <c r="I91" s="409"/>
      <c r="J91" s="409"/>
      <c r="K91" s="117"/>
      <c r="L91" s="118">
        <f>L11</f>
        <v>0</v>
      </c>
    </row>
    <row r="92" spans="2:15">
      <c r="B92" s="201" t="s">
        <v>13</v>
      </c>
      <c r="C92" s="384" t="s">
        <v>229</v>
      </c>
      <c r="D92" s="384"/>
      <c r="E92" s="384"/>
      <c r="F92" s="384"/>
      <c r="G92" s="384"/>
      <c r="H92" s="384"/>
      <c r="I92" s="384"/>
      <c r="J92" s="384"/>
      <c r="K92" s="83">
        <v>0.06</v>
      </c>
      <c r="L92" s="45">
        <f>K92*L112</f>
        <v>298.17022668079733</v>
      </c>
      <c r="M92" s="68"/>
    </row>
    <row r="93" spans="2:15">
      <c r="B93" s="396" t="s">
        <v>230</v>
      </c>
      <c r="C93" s="397"/>
      <c r="D93" s="397"/>
      <c r="E93" s="397"/>
      <c r="F93" s="397"/>
      <c r="G93" s="397"/>
      <c r="H93" s="397"/>
      <c r="I93" s="397"/>
      <c r="J93" s="397"/>
      <c r="K93" s="398"/>
      <c r="L93" s="45"/>
      <c r="M93" s="68"/>
    </row>
    <row r="94" spans="2:15">
      <c r="B94" s="201" t="s">
        <v>15</v>
      </c>
      <c r="C94" s="384" t="s">
        <v>41</v>
      </c>
      <c r="D94" s="384"/>
      <c r="E94" s="384"/>
      <c r="F94" s="384"/>
      <c r="G94" s="384"/>
      <c r="H94" s="384"/>
      <c r="I94" s="384"/>
      <c r="J94" s="384"/>
      <c r="K94" s="83">
        <v>6.7900000000000002E-2</v>
      </c>
      <c r="L94" s="45">
        <f>K94*L112</f>
        <v>337.42930652710231</v>
      </c>
      <c r="M94" s="68"/>
    </row>
    <row r="95" spans="2:15">
      <c r="B95" s="361" t="s">
        <v>19</v>
      </c>
      <c r="C95" s="362" t="s">
        <v>42</v>
      </c>
      <c r="D95" s="363"/>
      <c r="E95" s="363"/>
      <c r="F95" s="363"/>
      <c r="G95" s="363"/>
      <c r="H95" s="363"/>
      <c r="I95" s="364"/>
      <c r="J95" s="365">
        <f>L112+L92+L94</f>
        <v>5605.1033112211881</v>
      </c>
      <c r="K95" s="366"/>
      <c r="L95" s="65"/>
    </row>
    <row r="96" spans="2:15">
      <c r="B96" s="361"/>
      <c r="C96" s="367" t="s">
        <v>43</v>
      </c>
      <c r="D96" s="368"/>
      <c r="E96" s="368"/>
      <c r="F96" s="369"/>
      <c r="G96" s="207"/>
      <c r="H96" s="207" t="s">
        <v>44</v>
      </c>
      <c r="I96" s="207"/>
      <c r="J96" s="370"/>
      <c r="K96" s="371"/>
      <c r="L96" s="65"/>
      <c r="M96" s="339" t="s">
        <v>297</v>
      </c>
      <c r="N96" s="340"/>
      <c r="O96" s="340"/>
    </row>
    <row r="97" spans="2:15">
      <c r="B97" s="361"/>
      <c r="C97" s="358" t="s">
        <v>45</v>
      </c>
      <c r="D97" s="358"/>
      <c r="E97" s="358"/>
      <c r="F97" s="358"/>
      <c r="G97" s="206" t="s">
        <v>46</v>
      </c>
      <c r="H97" s="191">
        <v>6.4999999999999997E-3</v>
      </c>
      <c r="I97" s="372">
        <f>SUM(H97:H102)</f>
        <v>8.6499999999999994E-2</v>
      </c>
      <c r="J97" s="359">
        <f>ROUND($L$114*H97,2)</f>
        <v>39.880000000000003</v>
      </c>
      <c r="K97" s="360"/>
      <c r="L97" s="423">
        <f>SUM(J97:K102)</f>
        <v>530.75</v>
      </c>
      <c r="M97" s="339"/>
      <c r="N97" s="340"/>
      <c r="O97" s="340"/>
    </row>
    <row r="98" spans="2:15">
      <c r="B98" s="361"/>
      <c r="C98" s="358"/>
      <c r="D98" s="358"/>
      <c r="E98" s="358"/>
      <c r="F98" s="358"/>
      <c r="G98" s="206" t="s">
        <v>47</v>
      </c>
      <c r="H98" s="191">
        <v>0.03</v>
      </c>
      <c r="I98" s="372"/>
      <c r="J98" s="359">
        <f t="shared" ref="J98:J102" si="1">ROUND($L$114*H98,2)</f>
        <v>184.08</v>
      </c>
      <c r="K98" s="360"/>
      <c r="L98" s="424"/>
      <c r="M98" s="339"/>
      <c r="N98" s="340"/>
      <c r="O98" s="340"/>
    </row>
    <row r="99" spans="2:15">
      <c r="B99" s="361"/>
      <c r="C99" s="358"/>
      <c r="D99" s="358"/>
      <c r="E99" s="358"/>
      <c r="F99" s="358"/>
      <c r="G99" s="206" t="s">
        <v>48</v>
      </c>
      <c r="H99" s="191">
        <v>0</v>
      </c>
      <c r="I99" s="372"/>
      <c r="J99" s="359">
        <f t="shared" si="1"/>
        <v>0</v>
      </c>
      <c r="K99" s="360"/>
      <c r="L99" s="424"/>
      <c r="M99" s="339"/>
      <c r="N99" s="340"/>
      <c r="O99" s="340"/>
    </row>
    <row r="100" spans="2:15">
      <c r="B100" s="361"/>
      <c r="C100" s="358" t="s">
        <v>49</v>
      </c>
      <c r="D100" s="358"/>
      <c r="E100" s="358"/>
      <c r="F100" s="358"/>
      <c r="G100" s="85" t="s">
        <v>50</v>
      </c>
      <c r="H100" s="191">
        <v>0.05</v>
      </c>
      <c r="I100" s="372"/>
      <c r="J100" s="359">
        <f t="shared" si="1"/>
        <v>306.79000000000002</v>
      </c>
      <c r="K100" s="360"/>
      <c r="L100" s="424"/>
      <c r="M100" s="339"/>
      <c r="N100" s="340"/>
      <c r="O100" s="340"/>
    </row>
    <row r="101" spans="2:15">
      <c r="B101" s="361"/>
      <c r="C101" s="358"/>
      <c r="D101" s="358"/>
      <c r="E101" s="358"/>
      <c r="F101" s="358"/>
      <c r="G101" s="85" t="s">
        <v>48</v>
      </c>
      <c r="H101" s="191">
        <v>0</v>
      </c>
      <c r="I101" s="372"/>
      <c r="J101" s="359">
        <f t="shared" si="1"/>
        <v>0</v>
      </c>
      <c r="K101" s="360"/>
      <c r="L101" s="424"/>
      <c r="M101" s="339"/>
      <c r="N101" s="340"/>
      <c r="O101" s="340"/>
    </row>
    <row r="102" spans="2:15">
      <c r="B102" s="361"/>
      <c r="C102" s="358" t="s">
        <v>51</v>
      </c>
      <c r="D102" s="358"/>
      <c r="E102" s="358"/>
      <c r="F102" s="358"/>
      <c r="G102" s="85"/>
      <c r="H102" s="191">
        <v>0</v>
      </c>
      <c r="I102" s="372"/>
      <c r="J102" s="359">
        <f t="shared" si="1"/>
        <v>0</v>
      </c>
      <c r="K102" s="360"/>
      <c r="L102" s="425"/>
      <c r="M102" s="339"/>
      <c r="N102" s="340"/>
      <c r="O102" s="340"/>
    </row>
    <row r="103" spans="2:15">
      <c r="B103" s="393" t="s">
        <v>52</v>
      </c>
      <c r="C103" s="393"/>
      <c r="D103" s="393"/>
      <c r="E103" s="393"/>
      <c r="F103" s="393"/>
      <c r="G103" s="393"/>
      <c r="H103" s="393"/>
      <c r="I103" s="393"/>
      <c r="J103" s="393"/>
      <c r="K103" s="393"/>
      <c r="L103" s="78">
        <f>L97+L94+L92</f>
        <v>1166.3495332078996</v>
      </c>
      <c r="M103" s="18" t="s">
        <v>299</v>
      </c>
    </row>
    <row r="104" spans="2:15">
      <c r="B104" s="69"/>
      <c r="C104" s="69"/>
      <c r="D104" s="69"/>
      <c r="E104" s="69"/>
      <c r="F104" s="69"/>
      <c r="G104" s="69"/>
      <c r="H104" s="69"/>
      <c r="I104" s="70"/>
      <c r="J104" s="71"/>
      <c r="K104" s="69"/>
    </row>
    <row r="105" spans="2:15">
      <c r="B105" s="394" t="s">
        <v>53</v>
      </c>
      <c r="C105" s="394"/>
      <c r="D105" s="394"/>
      <c r="E105" s="394"/>
      <c r="F105" s="394"/>
      <c r="G105" s="394"/>
      <c r="H105" s="394"/>
      <c r="I105" s="394"/>
      <c r="J105" s="394"/>
      <c r="K105" s="394"/>
      <c r="L105" s="394"/>
    </row>
    <row r="106" spans="2:15">
      <c r="B106" s="395" t="s">
        <v>54</v>
      </c>
      <c r="C106" s="395"/>
      <c r="D106" s="395"/>
      <c r="E106" s="395"/>
      <c r="F106" s="395"/>
      <c r="G106" s="395"/>
      <c r="H106" s="395"/>
      <c r="I106" s="395"/>
      <c r="J106" s="395"/>
      <c r="K106" s="395"/>
      <c r="L106" s="24">
        <f>L11</f>
        <v>0</v>
      </c>
    </row>
    <row r="107" spans="2:15">
      <c r="B107" s="201" t="s">
        <v>13</v>
      </c>
      <c r="C107" s="384" t="str">
        <f>B12</f>
        <v xml:space="preserve">MÓDULO 01 – Composição da Remuneração </v>
      </c>
      <c r="D107" s="384"/>
      <c r="E107" s="384"/>
      <c r="F107" s="384"/>
      <c r="G107" s="384"/>
      <c r="H107" s="384"/>
      <c r="I107" s="384"/>
      <c r="J107" s="384"/>
      <c r="K107" s="384"/>
      <c r="L107" s="72">
        <f>L23</f>
        <v>2622.0093275127265</v>
      </c>
    </row>
    <row r="108" spans="2:15">
      <c r="B108" s="201" t="s">
        <v>15</v>
      </c>
      <c r="C108" s="384" t="str">
        <f>B25</f>
        <v>MÓDULO 2 – ENCARGOS E BENEFÍCIOS ANUAIS, MENSAIS E DIÁRIOS</v>
      </c>
      <c r="D108" s="384"/>
      <c r="E108" s="384"/>
      <c r="F108" s="384"/>
      <c r="G108" s="384"/>
      <c r="H108" s="384"/>
      <c r="I108" s="384"/>
      <c r="J108" s="384"/>
      <c r="K108" s="384"/>
      <c r="L108" s="72">
        <f>L56</f>
        <v>1738.5306945462507</v>
      </c>
    </row>
    <row r="109" spans="2:15">
      <c r="B109" s="201" t="s">
        <v>19</v>
      </c>
      <c r="C109" s="384" t="str">
        <f>B58</f>
        <v>MÓDULO 3 – PROVISÃO PARA RESCISÃO</v>
      </c>
      <c r="D109" s="384"/>
      <c r="E109" s="384"/>
      <c r="F109" s="384"/>
      <c r="G109" s="384"/>
      <c r="H109" s="384"/>
      <c r="I109" s="384"/>
      <c r="J109" s="384"/>
      <c r="K109" s="384"/>
      <c r="L109" s="72">
        <f>L64</f>
        <v>213.94</v>
      </c>
    </row>
    <row r="110" spans="2:15">
      <c r="B110" s="201" t="s">
        <v>21</v>
      </c>
      <c r="C110" s="384" t="str">
        <f>B66</f>
        <v>MÓDULO 4 – CUSTO DE REPOSIÇÃO DO PROFISSIONAL AUSENTE</v>
      </c>
      <c r="D110" s="384"/>
      <c r="E110" s="384"/>
      <c r="F110" s="384"/>
      <c r="G110" s="384"/>
      <c r="H110" s="384"/>
      <c r="I110" s="384"/>
      <c r="J110" s="384"/>
      <c r="K110" s="384"/>
      <c r="L110" s="72">
        <f>L84</f>
        <v>303.43073512097931</v>
      </c>
    </row>
    <row r="111" spans="2:15">
      <c r="B111" s="201" t="s">
        <v>23</v>
      </c>
      <c r="C111" s="384" t="str">
        <f>B86</f>
        <v>MÓDULO 5 – INSUMOS DIVERSOS</v>
      </c>
      <c r="D111" s="384"/>
      <c r="E111" s="384"/>
      <c r="F111" s="384"/>
      <c r="G111" s="384"/>
      <c r="H111" s="384"/>
      <c r="I111" s="384"/>
      <c r="J111" s="384"/>
      <c r="K111" s="384"/>
      <c r="L111" s="72">
        <f>L89</f>
        <v>91.593020833333327</v>
      </c>
    </row>
    <row r="112" spans="2:15">
      <c r="B112" s="385" t="s">
        <v>221</v>
      </c>
      <c r="C112" s="385"/>
      <c r="D112" s="385"/>
      <c r="E112" s="385"/>
      <c r="F112" s="385"/>
      <c r="G112" s="385"/>
      <c r="H112" s="385"/>
      <c r="I112" s="385"/>
      <c r="J112" s="385"/>
      <c r="K112" s="385"/>
      <c r="L112" s="78">
        <f>SUM(L107:L111)</f>
        <v>4969.5037780132889</v>
      </c>
    </row>
    <row r="113" spans="1:13">
      <c r="B113" s="201" t="s">
        <v>6</v>
      </c>
      <c r="C113" s="384" t="s">
        <v>55</v>
      </c>
      <c r="D113" s="384"/>
      <c r="E113" s="384"/>
      <c r="F113" s="384"/>
      <c r="G113" s="384"/>
      <c r="H113" s="384"/>
      <c r="I113" s="384"/>
      <c r="J113" s="384"/>
      <c r="K113" s="384"/>
      <c r="L113" s="73">
        <f>L114-L112</f>
        <v>1166.3462219867115</v>
      </c>
    </row>
    <row r="114" spans="1:13">
      <c r="B114" s="386" t="s">
        <v>56</v>
      </c>
      <c r="C114" s="386"/>
      <c r="D114" s="386"/>
      <c r="E114" s="386"/>
      <c r="F114" s="386"/>
      <c r="G114" s="386"/>
      <c r="H114" s="386"/>
      <c r="I114" s="386"/>
      <c r="J114" s="386"/>
      <c r="K114" s="386"/>
      <c r="L114" s="80">
        <f>ROUND(J95/(1-$I$97),2)</f>
        <v>6135.85</v>
      </c>
      <c r="M114" s="82"/>
    </row>
    <row r="115" spans="1:13">
      <c r="F115" s="387" t="s">
        <v>57</v>
      </c>
      <c r="G115" s="388"/>
      <c r="H115" s="388"/>
      <c r="I115" s="389"/>
      <c r="J115" s="18"/>
      <c r="L115" s="18"/>
    </row>
    <row r="116" spans="1:13">
      <c r="F116" s="390" t="s">
        <v>58</v>
      </c>
      <c r="G116" s="391"/>
      <c r="H116" s="392"/>
      <c r="I116" s="145" t="s">
        <v>18</v>
      </c>
      <c r="J116" s="18"/>
      <c r="L116" s="18"/>
    </row>
    <row r="117" spans="1:13">
      <c r="F117" s="75" t="s">
        <v>59</v>
      </c>
      <c r="G117" s="75"/>
      <c r="H117" s="76"/>
      <c r="I117" s="76">
        <f>K92</f>
        <v>0.06</v>
      </c>
      <c r="J117" s="18"/>
      <c r="L117" s="18"/>
    </row>
    <row r="118" spans="1:13">
      <c r="F118" s="378" t="s">
        <v>41</v>
      </c>
      <c r="G118" s="379"/>
      <c r="H118" s="380"/>
      <c r="I118" s="76">
        <f>K94</f>
        <v>6.7900000000000002E-2</v>
      </c>
      <c r="J118" s="18"/>
      <c r="L118" s="18"/>
    </row>
    <row r="119" spans="1:13">
      <c r="F119" s="75" t="s">
        <v>60</v>
      </c>
      <c r="G119" s="75"/>
      <c r="H119" s="76"/>
      <c r="I119" s="76">
        <f>I97</f>
        <v>8.6499999999999994E-2</v>
      </c>
      <c r="J119" s="18"/>
      <c r="L119" s="18"/>
    </row>
    <row r="120" spans="1:13">
      <c r="F120" s="381" t="s">
        <v>61</v>
      </c>
      <c r="G120" s="382"/>
      <c r="H120" s="383"/>
      <c r="I120" s="76">
        <f>(1+I117)*(1+I118)/(1-I119)-1</f>
        <v>0.2391614668856048</v>
      </c>
      <c r="J120" s="18"/>
      <c r="L120" s="18"/>
    </row>
    <row r="121" spans="1:13">
      <c r="A121" s="373" t="s">
        <v>268</v>
      </c>
      <c r="B121" s="373"/>
      <c r="C121" s="373"/>
    </row>
    <row r="122" spans="1:13" ht="15" customHeight="1">
      <c r="A122" s="341" t="s">
        <v>296</v>
      </c>
      <c r="B122" s="342"/>
      <c r="C122" s="342"/>
      <c r="D122" s="342"/>
      <c r="E122" s="342"/>
      <c r="F122" s="342"/>
      <c r="G122" s="342"/>
      <c r="H122" s="342"/>
      <c r="I122" s="342"/>
      <c r="J122" s="342"/>
      <c r="K122" s="342"/>
      <c r="L122" s="343"/>
    </row>
    <row r="123" spans="1:13" ht="32.25" customHeight="1">
      <c r="A123" s="344"/>
      <c r="B123" s="345"/>
      <c r="C123" s="345"/>
      <c r="D123" s="345"/>
      <c r="E123" s="345"/>
      <c r="F123" s="345"/>
      <c r="G123" s="345"/>
      <c r="H123" s="345"/>
      <c r="I123" s="345"/>
      <c r="J123" s="345"/>
      <c r="K123" s="345"/>
      <c r="L123" s="346"/>
    </row>
    <row r="124" spans="1:13" ht="31.5" customHeight="1">
      <c r="A124" s="347" t="s">
        <v>360</v>
      </c>
      <c r="B124" s="347"/>
      <c r="C124" s="347"/>
      <c r="D124" s="347"/>
      <c r="E124" s="347"/>
      <c r="F124" s="347"/>
      <c r="G124" s="347"/>
      <c r="H124" s="347"/>
      <c r="I124" s="347"/>
      <c r="J124" s="347"/>
      <c r="K124" s="347"/>
      <c r="L124" s="347"/>
    </row>
  </sheetData>
  <mergeCells count="141">
    <mergeCell ref="B5:L5"/>
    <mergeCell ref="B6:D6"/>
    <mergeCell ref="E6:G6"/>
    <mergeCell ref="H6:J6"/>
    <mergeCell ref="K6:L6"/>
    <mergeCell ref="B7:D7"/>
    <mergeCell ref="E7:G7"/>
    <mergeCell ref="K7:L7"/>
    <mergeCell ref="B1:L1"/>
    <mergeCell ref="B2:L2"/>
    <mergeCell ref="B3:D3"/>
    <mergeCell ref="E3:H3"/>
    <mergeCell ref="J3:L3"/>
    <mergeCell ref="B4:D4"/>
    <mergeCell ref="E4:H4"/>
    <mergeCell ref="J4:L4"/>
    <mergeCell ref="B12:L12"/>
    <mergeCell ref="C13:K13"/>
    <mergeCell ref="C14:K14"/>
    <mergeCell ref="C15:I15"/>
    <mergeCell ref="C16:I16"/>
    <mergeCell ref="C17:I17"/>
    <mergeCell ref="B8:G8"/>
    <mergeCell ref="H8:L8"/>
    <mergeCell ref="B9:G9"/>
    <mergeCell ref="H9:L9"/>
    <mergeCell ref="B10:G10"/>
    <mergeCell ref="H10:L10"/>
    <mergeCell ref="J17:K17"/>
    <mergeCell ref="B25:K25"/>
    <mergeCell ref="B26:J26"/>
    <mergeCell ref="C27:J27"/>
    <mergeCell ref="C28:J28"/>
    <mergeCell ref="B31:J31"/>
    <mergeCell ref="B32:L32"/>
    <mergeCell ref="C18:I18"/>
    <mergeCell ref="C19:I19"/>
    <mergeCell ref="C20:I20"/>
    <mergeCell ref="C21:K21"/>
    <mergeCell ref="C22:K22"/>
    <mergeCell ref="B23:K23"/>
    <mergeCell ref="J18:K18"/>
    <mergeCell ref="B33:J33"/>
    <mergeCell ref="C34:J34"/>
    <mergeCell ref="C35:J35"/>
    <mergeCell ref="C36:J36"/>
    <mergeCell ref="M36:O42"/>
    <mergeCell ref="C37:J37"/>
    <mergeCell ref="C38:J38"/>
    <mergeCell ref="C39:J39"/>
    <mergeCell ref="C40:F40"/>
    <mergeCell ref="C41:J41"/>
    <mergeCell ref="C48:J48"/>
    <mergeCell ref="C49:J49"/>
    <mergeCell ref="B50:K50"/>
    <mergeCell ref="B51:L51"/>
    <mergeCell ref="B52:K52"/>
    <mergeCell ref="C53:J53"/>
    <mergeCell ref="B42:J42"/>
    <mergeCell ref="B43:L43"/>
    <mergeCell ref="B44:J44"/>
    <mergeCell ref="C45:J45"/>
    <mergeCell ref="C46:J46"/>
    <mergeCell ref="C47:J47"/>
    <mergeCell ref="C60:H60"/>
    <mergeCell ref="I60:J60"/>
    <mergeCell ref="C61:H61"/>
    <mergeCell ref="I61:J61"/>
    <mergeCell ref="C62:H62"/>
    <mergeCell ref="I62:J62"/>
    <mergeCell ref="C54:J54"/>
    <mergeCell ref="C55:J55"/>
    <mergeCell ref="B56:K56"/>
    <mergeCell ref="B57:K57"/>
    <mergeCell ref="B58:J58"/>
    <mergeCell ref="C59:H59"/>
    <mergeCell ref="C70:F70"/>
    <mergeCell ref="G70:H70"/>
    <mergeCell ref="C71:J71"/>
    <mergeCell ref="C72:J72"/>
    <mergeCell ref="C74:J74"/>
    <mergeCell ref="B75:K75"/>
    <mergeCell ref="B64:K64"/>
    <mergeCell ref="B65:K65"/>
    <mergeCell ref="B66:K66"/>
    <mergeCell ref="B67:J67"/>
    <mergeCell ref="C68:J68"/>
    <mergeCell ref="G69:I69"/>
    <mergeCell ref="C82:K82"/>
    <mergeCell ref="C83:K83"/>
    <mergeCell ref="B84:K84"/>
    <mergeCell ref="B85:L85"/>
    <mergeCell ref="B86:K86"/>
    <mergeCell ref="C87:K87"/>
    <mergeCell ref="B76:L76"/>
    <mergeCell ref="B77:J77"/>
    <mergeCell ref="C78:J78"/>
    <mergeCell ref="B79:K79"/>
    <mergeCell ref="B80:L80"/>
    <mergeCell ref="B81:K81"/>
    <mergeCell ref="C94:J94"/>
    <mergeCell ref="B95:B102"/>
    <mergeCell ref="C95:I95"/>
    <mergeCell ref="J95:K95"/>
    <mergeCell ref="C96:F96"/>
    <mergeCell ref="J96:K96"/>
    <mergeCell ref="C102:F102"/>
    <mergeCell ref="J102:K102"/>
    <mergeCell ref="C88:K88"/>
    <mergeCell ref="B89:K89"/>
    <mergeCell ref="B91:J91"/>
    <mergeCell ref="C92:J92"/>
    <mergeCell ref="B93:K93"/>
    <mergeCell ref="B103:K103"/>
    <mergeCell ref="B105:L105"/>
    <mergeCell ref="B106:K106"/>
    <mergeCell ref="C107:K107"/>
    <mergeCell ref="C108:K108"/>
    <mergeCell ref="C109:K109"/>
    <mergeCell ref="M96:O102"/>
    <mergeCell ref="C97:F99"/>
    <mergeCell ref="I97:I102"/>
    <mergeCell ref="J97:K97"/>
    <mergeCell ref="L97:L102"/>
    <mergeCell ref="J98:K98"/>
    <mergeCell ref="J99:K99"/>
    <mergeCell ref="C100:F101"/>
    <mergeCell ref="J100:K100"/>
    <mergeCell ref="J101:K101"/>
    <mergeCell ref="F116:H116"/>
    <mergeCell ref="F118:H118"/>
    <mergeCell ref="F120:H120"/>
    <mergeCell ref="A121:C121"/>
    <mergeCell ref="A122:L123"/>
    <mergeCell ref="A124:L124"/>
    <mergeCell ref="C110:K110"/>
    <mergeCell ref="C111:K111"/>
    <mergeCell ref="B112:K112"/>
    <mergeCell ref="C113:K113"/>
    <mergeCell ref="B114:K114"/>
    <mergeCell ref="F115:I115"/>
  </mergeCells>
  <pageMargins left="0.511811024" right="0.511811024" top="0.78740157499999996" bottom="0.78740157499999996" header="0.31496062000000002" footer="0.31496062000000002"/>
  <pageSetup paperSize="9" scale="41" orientation="portrait" r:id="rId1"/>
  <rowBreaks count="1" manualBreakCount="1">
    <brk id="80" max="12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showGridLines="0" tabSelected="1" workbookViewId="0">
      <selection sqref="A1:F11"/>
    </sheetView>
  </sheetViews>
  <sheetFormatPr defaultRowHeight="15"/>
  <cols>
    <col min="3" max="3" width="20.28515625" customWidth="1"/>
    <col min="4" max="4" width="16.85546875" customWidth="1"/>
    <col min="5" max="5" width="15.42578125" customWidth="1"/>
    <col min="6" max="6" width="15.7109375" customWidth="1"/>
    <col min="7" max="7" width="20.5703125" bestFit="1" customWidth="1"/>
  </cols>
  <sheetData>
    <row r="1" spans="1:11" s="166" customFormat="1" ht="18.75">
      <c r="A1" s="429" t="s">
        <v>362</v>
      </c>
      <c r="B1" s="429"/>
      <c r="C1" s="429"/>
      <c r="D1" s="429"/>
      <c r="E1" s="429"/>
      <c r="F1" s="429"/>
      <c r="G1" s="174"/>
      <c r="H1" s="168"/>
      <c r="I1" s="168"/>
      <c r="J1" s="168"/>
      <c r="K1" s="168"/>
    </row>
    <row r="2" spans="1:11" s="166" customFormat="1"/>
    <row r="3" spans="1:11" s="166" customFormat="1"/>
    <row r="4" spans="1:11">
      <c r="A4" s="430" t="s">
        <v>284</v>
      </c>
      <c r="B4" s="430"/>
      <c r="C4" s="430"/>
      <c r="D4" s="430"/>
      <c r="E4" s="430"/>
      <c r="F4" s="430"/>
    </row>
    <row r="5" spans="1:11">
      <c r="A5" s="435" t="s">
        <v>289</v>
      </c>
      <c r="B5" s="435"/>
      <c r="C5" s="431" t="s">
        <v>285</v>
      </c>
      <c r="D5" s="431" t="s">
        <v>290</v>
      </c>
      <c r="E5" s="431" t="s">
        <v>256</v>
      </c>
      <c r="F5" s="430" t="s">
        <v>292</v>
      </c>
    </row>
    <row r="6" spans="1:11" ht="15" customHeight="1">
      <c r="A6" s="435"/>
      <c r="B6" s="435"/>
      <c r="C6" s="432"/>
      <c r="D6" s="432"/>
      <c r="E6" s="432"/>
      <c r="F6" s="430"/>
    </row>
    <row r="7" spans="1:11">
      <c r="A7" s="435"/>
      <c r="B7" s="435"/>
      <c r="C7" s="433"/>
      <c r="D7" s="433"/>
      <c r="E7" s="433"/>
      <c r="F7" s="430"/>
    </row>
    <row r="8" spans="1:11" s="166" customFormat="1" ht="40.5" customHeight="1">
      <c r="A8" s="436" t="s">
        <v>329</v>
      </c>
      <c r="B8" s="437"/>
      <c r="C8" s="175">
        <f>'VIG. DIURNO'!L112</f>
        <v>5132.21</v>
      </c>
      <c r="D8" s="176">
        <v>2</v>
      </c>
      <c r="E8" s="175">
        <f>C8*D8</f>
        <v>10264.42</v>
      </c>
      <c r="F8" s="177">
        <f>E8*12</f>
        <v>123173.04000000001</v>
      </c>
    </row>
    <row r="9" spans="1:11" s="166" customFormat="1" ht="40.5" customHeight="1">
      <c r="A9" s="438" t="s">
        <v>330</v>
      </c>
      <c r="B9" s="439"/>
      <c r="C9" s="175">
        <f>'VIG. NOTURNO'!L114</f>
        <v>6135.85</v>
      </c>
      <c r="D9" s="176">
        <v>2</v>
      </c>
      <c r="E9" s="175">
        <f>C9*D9</f>
        <v>12271.7</v>
      </c>
      <c r="F9" s="177">
        <f t="shared" ref="F9" si="0">E9*12</f>
        <v>147260.40000000002</v>
      </c>
    </row>
    <row r="10" spans="1:11" ht="15" customHeight="1">
      <c r="A10" s="440" t="s">
        <v>293</v>
      </c>
      <c r="B10" s="440"/>
      <c r="C10" s="440"/>
      <c r="D10" s="440"/>
      <c r="E10" s="178">
        <f>SUM(E8:E9)</f>
        <v>22536.120000000003</v>
      </c>
      <c r="F10" s="178">
        <f>SUM(F8:F9)</f>
        <v>270433.44000000006</v>
      </c>
    </row>
    <row r="11" spans="1:11">
      <c r="A11" s="434"/>
      <c r="B11" s="434"/>
      <c r="C11" s="434"/>
      <c r="D11" s="434"/>
      <c r="E11" s="434"/>
      <c r="F11" s="167"/>
      <c r="G11" s="166"/>
    </row>
    <row r="12" spans="1:11">
      <c r="A12" s="167"/>
      <c r="B12" s="167"/>
      <c r="C12" s="167"/>
      <c r="D12" s="167"/>
      <c r="E12" s="167"/>
    </row>
  </sheetData>
  <mergeCells count="11">
    <mergeCell ref="F5:F7"/>
    <mergeCell ref="A4:F4"/>
    <mergeCell ref="E5:E7"/>
    <mergeCell ref="A11:E11"/>
    <mergeCell ref="A5:B7"/>
    <mergeCell ref="A8:B8"/>
    <mergeCell ref="A9:B9"/>
    <mergeCell ref="C5:C7"/>
    <mergeCell ref="D5:D7"/>
    <mergeCell ref="A10:D10"/>
    <mergeCell ref="A1:F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topLeftCell="A97" workbookViewId="0">
      <selection activeCell="G85" sqref="G85"/>
    </sheetView>
  </sheetViews>
  <sheetFormatPr defaultColWidth="11.85546875" defaultRowHeight="15"/>
  <cols>
    <col min="1" max="1" width="6.28515625" style="18" customWidth="1"/>
    <col min="2" max="2" width="4.5703125" style="18" customWidth="1"/>
    <col min="3" max="3" width="9" style="18" customWidth="1"/>
    <col min="4" max="4" width="25" style="18" customWidth="1"/>
    <col min="5" max="5" width="4.7109375" style="18" bestFit="1" customWidth="1"/>
    <col min="6" max="6" width="9" style="18" bestFit="1" customWidth="1"/>
    <col min="7" max="7" width="10.42578125" style="18" customWidth="1"/>
    <col min="8" max="8" width="10.7109375" style="18" customWidth="1"/>
    <col min="9" max="9" width="16.7109375" style="50" customWidth="1"/>
    <col min="10" max="10" width="9" style="51" bestFit="1" customWidth="1"/>
    <col min="11" max="11" width="9.140625" style="18" bestFit="1" customWidth="1"/>
    <col min="12" max="12" width="12.7109375" style="35" bestFit="1" customWidth="1"/>
    <col min="13" max="13" width="13.28515625" style="18" bestFit="1" customWidth="1"/>
    <col min="14" max="16384" width="11.85546875" style="18"/>
  </cols>
  <sheetData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9" customFormat="1">
      <c r="B3" s="456" t="e">
        <f>#REF!</f>
        <v>#REF!</v>
      </c>
      <c r="C3" s="457"/>
      <c r="D3" s="457"/>
      <c r="E3" s="457"/>
      <c r="F3" s="457"/>
      <c r="G3" s="457"/>
      <c r="H3" s="457"/>
      <c r="I3" s="457"/>
      <c r="J3" s="457"/>
      <c r="K3" s="457"/>
      <c r="L3" s="458"/>
    </row>
    <row r="4" spans="2:13" s="19" customFormat="1">
      <c r="B4" s="459"/>
      <c r="C4" s="460"/>
      <c r="D4" s="460"/>
      <c r="E4" s="460"/>
      <c r="F4" s="460"/>
      <c r="G4" s="460"/>
      <c r="H4" s="460"/>
      <c r="I4" s="460"/>
      <c r="J4" s="460"/>
      <c r="K4" s="460"/>
      <c r="L4" s="461"/>
    </row>
    <row r="5" spans="2:13">
      <c r="B5" s="20"/>
      <c r="C5" s="21"/>
      <c r="D5" s="21"/>
      <c r="E5" s="21"/>
      <c r="F5" s="21"/>
      <c r="G5" s="21"/>
      <c r="H5" s="21"/>
      <c r="I5" s="22"/>
      <c r="J5" s="21"/>
      <c r="K5" s="23"/>
      <c r="L5" s="24" t="s">
        <v>62</v>
      </c>
    </row>
    <row r="6" spans="2:13">
      <c r="B6" s="409" t="s">
        <v>12</v>
      </c>
      <c r="C6" s="409"/>
      <c r="D6" s="409"/>
      <c r="E6" s="409"/>
      <c r="F6" s="409"/>
      <c r="G6" s="409"/>
      <c r="H6" s="409"/>
      <c r="I6" s="409"/>
      <c r="J6" s="409"/>
      <c r="K6" s="409"/>
      <c r="L6" s="409"/>
    </row>
    <row r="7" spans="2:13">
      <c r="B7" s="77" t="s">
        <v>13</v>
      </c>
      <c r="C7" s="384" t="s">
        <v>14</v>
      </c>
      <c r="D7" s="384"/>
      <c r="E7" s="384"/>
      <c r="F7" s="384"/>
      <c r="G7" s="384"/>
      <c r="H7" s="384"/>
      <c r="I7" s="384"/>
      <c r="J7" s="384"/>
      <c r="K7" s="384"/>
      <c r="L7" s="26">
        <f>'Benef. e Insumos'!E10</f>
        <v>1547.12</v>
      </c>
    </row>
    <row r="8" spans="2:13">
      <c r="B8" s="99" t="s">
        <v>166</v>
      </c>
      <c r="C8" s="384" t="s">
        <v>167</v>
      </c>
      <c r="D8" s="384"/>
      <c r="E8" s="384"/>
      <c r="F8" s="384"/>
      <c r="G8" s="384"/>
      <c r="H8" s="384"/>
      <c r="I8" s="384"/>
      <c r="J8" s="384"/>
      <c r="K8" s="384"/>
      <c r="L8" s="26"/>
    </row>
    <row r="9" spans="2:13">
      <c r="B9" s="77" t="s">
        <v>15</v>
      </c>
      <c r="C9" s="384" t="s">
        <v>16</v>
      </c>
      <c r="D9" s="384"/>
      <c r="E9" s="384"/>
      <c r="F9" s="349" t="s">
        <v>17</v>
      </c>
      <c r="G9" s="349"/>
      <c r="H9" s="349"/>
      <c r="I9" s="349"/>
      <c r="J9" s="27" t="s">
        <v>18</v>
      </c>
      <c r="K9" s="28">
        <v>0</v>
      </c>
      <c r="L9" s="29">
        <v>0</v>
      </c>
      <c r="M9" s="30"/>
    </row>
    <row r="10" spans="2:13">
      <c r="B10" s="110" t="s">
        <v>19</v>
      </c>
      <c r="C10" s="367" t="s">
        <v>172</v>
      </c>
      <c r="D10" s="368"/>
      <c r="E10" s="368"/>
      <c r="F10" s="368"/>
      <c r="G10" s="368"/>
      <c r="H10" s="368"/>
      <c r="I10" s="369"/>
      <c r="J10" s="27" t="s">
        <v>18</v>
      </c>
      <c r="K10" s="28">
        <v>0</v>
      </c>
      <c r="L10" s="29">
        <v>0</v>
      </c>
      <c r="M10" s="30"/>
    </row>
    <row r="11" spans="2:13">
      <c r="B11" s="110" t="s">
        <v>21</v>
      </c>
      <c r="C11" s="367" t="s">
        <v>169</v>
      </c>
      <c r="D11" s="368"/>
      <c r="E11" s="368"/>
      <c r="F11" s="368"/>
      <c r="G11" s="368"/>
      <c r="H11" s="368"/>
      <c r="I11" s="369"/>
      <c r="J11" s="27" t="s">
        <v>18</v>
      </c>
      <c r="K11" s="28">
        <v>0</v>
      </c>
      <c r="L11" s="29">
        <v>0</v>
      </c>
      <c r="M11" s="30"/>
    </row>
    <row r="12" spans="2:13">
      <c r="B12" s="110" t="s">
        <v>23</v>
      </c>
      <c r="C12" s="367" t="s">
        <v>170</v>
      </c>
      <c r="D12" s="368"/>
      <c r="E12" s="368"/>
      <c r="F12" s="368"/>
      <c r="G12" s="368"/>
      <c r="H12" s="368"/>
      <c r="I12" s="369"/>
      <c r="J12" s="27" t="s">
        <v>18</v>
      </c>
      <c r="K12" s="28">
        <v>0</v>
      </c>
      <c r="L12" s="29">
        <v>0</v>
      </c>
      <c r="M12" s="30"/>
    </row>
    <row r="13" spans="2:13">
      <c r="B13" s="110" t="s">
        <v>6</v>
      </c>
      <c r="C13" s="367" t="s">
        <v>171</v>
      </c>
      <c r="D13" s="368"/>
      <c r="E13" s="368"/>
      <c r="F13" s="368"/>
      <c r="G13" s="368"/>
      <c r="H13" s="368"/>
      <c r="I13" s="369"/>
      <c r="J13" s="27" t="s">
        <v>18</v>
      </c>
      <c r="K13" s="28">
        <v>0</v>
      </c>
      <c r="L13" s="29">
        <v>0</v>
      </c>
      <c r="M13" s="30"/>
    </row>
    <row r="14" spans="2:13">
      <c r="B14" s="110" t="s">
        <v>24</v>
      </c>
      <c r="C14" s="399" t="s">
        <v>20</v>
      </c>
      <c r="D14" s="399"/>
      <c r="E14" s="399"/>
      <c r="F14" s="399"/>
      <c r="G14" s="399"/>
      <c r="H14" s="399"/>
      <c r="I14" s="399"/>
      <c r="J14" s="27" t="s">
        <v>18</v>
      </c>
      <c r="K14" s="31">
        <v>0</v>
      </c>
      <c r="L14" s="29">
        <v>0</v>
      </c>
      <c r="M14" s="30"/>
    </row>
    <row r="15" spans="2:13">
      <c r="B15" s="110" t="s">
        <v>25</v>
      </c>
      <c r="C15" s="416" t="s">
        <v>22</v>
      </c>
      <c r="D15" s="416"/>
      <c r="E15" s="416"/>
      <c r="F15" s="416"/>
      <c r="G15" s="416"/>
      <c r="H15" s="416"/>
      <c r="I15" s="416"/>
      <c r="J15" s="416"/>
      <c r="K15" s="416"/>
      <c r="L15" s="29">
        <v>0</v>
      </c>
      <c r="M15" s="30"/>
    </row>
    <row r="16" spans="2:13">
      <c r="B16" s="110" t="s">
        <v>168</v>
      </c>
      <c r="C16" s="453" t="s">
        <v>3</v>
      </c>
      <c r="D16" s="453"/>
      <c r="E16" s="453"/>
      <c r="F16" s="453"/>
      <c r="G16" s="453"/>
      <c r="H16" s="453"/>
      <c r="I16" s="453"/>
      <c r="J16" s="453"/>
      <c r="K16" s="453"/>
      <c r="L16" s="29"/>
      <c r="M16" s="30"/>
    </row>
    <row r="17" spans="2:13">
      <c r="B17" s="417" t="s">
        <v>220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120">
        <f>SUM(L7:L16)</f>
        <v>1547.12</v>
      </c>
      <c r="M17" s="32"/>
    </row>
    <row r="18" spans="2:13">
      <c r="B18" s="33"/>
      <c r="C18" s="33"/>
      <c r="D18" s="33"/>
      <c r="E18" s="33"/>
      <c r="F18" s="33"/>
      <c r="G18" s="33"/>
      <c r="H18" s="33"/>
      <c r="I18" s="34"/>
      <c r="J18" s="33"/>
      <c r="K18" s="33"/>
    </row>
    <row r="19" spans="2:13">
      <c r="B19" s="409" t="s">
        <v>173</v>
      </c>
      <c r="C19" s="409"/>
      <c r="D19" s="409"/>
      <c r="E19" s="409"/>
      <c r="F19" s="409"/>
      <c r="G19" s="409"/>
      <c r="H19" s="409"/>
      <c r="I19" s="409"/>
      <c r="J19" s="409"/>
      <c r="K19" s="409"/>
      <c r="L19" s="24" t="str">
        <f>L5</f>
        <v>SERVENTE</v>
      </c>
    </row>
    <row r="20" spans="2:13">
      <c r="B20" s="407" t="s">
        <v>174</v>
      </c>
      <c r="C20" s="408"/>
      <c r="D20" s="408"/>
      <c r="E20" s="408"/>
      <c r="F20" s="408"/>
      <c r="G20" s="408"/>
      <c r="H20" s="408"/>
      <c r="I20" s="408"/>
      <c r="J20" s="408"/>
      <c r="K20" s="112" t="s">
        <v>18</v>
      </c>
      <c r="L20" s="29" t="s">
        <v>178</v>
      </c>
    </row>
    <row r="21" spans="2:13">
      <c r="B21" s="110" t="s">
        <v>13</v>
      </c>
      <c r="C21" s="367" t="s">
        <v>175</v>
      </c>
      <c r="D21" s="368"/>
      <c r="E21" s="368"/>
      <c r="F21" s="368"/>
      <c r="G21" s="368"/>
      <c r="H21" s="368"/>
      <c r="I21" s="368"/>
      <c r="J21" s="369"/>
      <c r="K21" s="52">
        <v>8.3299999999999999E-2</v>
      </c>
      <c r="L21" s="29">
        <f>K21*L17</f>
        <v>128.87509599999998</v>
      </c>
    </row>
    <row r="22" spans="2:13">
      <c r="B22" s="110" t="s">
        <v>15</v>
      </c>
      <c r="C22" s="367" t="s">
        <v>176</v>
      </c>
      <c r="D22" s="368"/>
      <c r="E22" s="368"/>
      <c r="F22" s="368"/>
      <c r="G22" s="368"/>
      <c r="H22" s="368"/>
      <c r="I22" s="368"/>
      <c r="J22" s="369"/>
      <c r="K22" s="52">
        <v>2.7799999999999998E-2</v>
      </c>
      <c r="L22" s="29">
        <f>K22*L17</f>
        <v>43.009935999999996</v>
      </c>
    </row>
    <row r="23" spans="2:13">
      <c r="B23" s="449" t="s">
        <v>177</v>
      </c>
      <c r="C23" s="348"/>
      <c r="D23" s="348"/>
      <c r="E23" s="348"/>
      <c r="F23" s="348"/>
      <c r="G23" s="348"/>
      <c r="H23" s="348"/>
      <c r="I23" s="348"/>
      <c r="J23" s="450"/>
      <c r="K23" s="52">
        <f>SUM(K21:K22)</f>
        <v>0.1111</v>
      </c>
      <c r="L23" s="29">
        <f>SUM(L21:L22)</f>
        <v>171.88503199999997</v>
      </c>
    </row>
    <row r="24" spans="2:13">
      <c r="B24" s="113"/>
      <c r="C24" s="114"/>
      <c r="D24" s="114"/>
      <c r="E24" s="114"/>
      <c r="F24" s="114"/>
      <c r="G24" s="114"/>
      <c r="H24" s="114"/>
      <c r="I24" s="114"/>
      <c r="J24" s="115"/>
      <c r="K24" s="52"/>
      <c r="L24" s="29"/>
    </row>
    <row r="25" spans="2:13">
      <c r="B25" s="407" t="s">
        <v>179</v>
      </c>
      <c r="C25" s="408"/>
      <c r="D25" s="408"/>
      <c r="E25" s="408"/>
      <c r="F25" s="408"/>
      <c r="G25" s="408"/>
      <c r="H25" s="408"/>
      <c r="I25" s="408"/>
      <c r="J25" s="408"/>
      <c r="K25" s="112" t="s">
        <v>18</v>
      </c>
      <c r="L25" s="29" t="s">
        <v>178</v>
      </c>
    </row>
    <row r="26" spans="2:13">
      <c r="B26" s="92" t="s">
        <v>13</v>
      </c>
      <c r="C26" s="349" t="s">
        <v>26</v>
      </c>
      <c r="D26" s="349"/>
      <c r="E26" s="349"/>
      <c r="F26" s="349"/>
      <c r="G26" s="349"/>
      <c r="H26" s="349"/>
      <c r="I26" s="349"/>
      <c r="J26" s="349"/>
      <c r="K26" s="44">
        <v>0.2</v>
      </c>
      <c r="L26" s="45">
        <f>ROUND($K$26*L17,2)</f>
        <v>309.42</v>
      </c>
    </row>
    <row r="27" spans="2:13">
      <c r="B27" s="92" t="s">
        <v>15</v>
      </c>
      <c r="C27" s="349" t="s">
        <v>27</v>
      </c>
      <c r="D27" s="349"/>
      <c r="E27" s="349"/>
      <c r="F27" s="349"/>
      <c r="G27" s="349"/>
      <c r="H27" s="349"/>
      <c r="I27" s="349"/>
      <c r="J27" s="349"/>
      <c r="K27" s="44">
        <v>1.4999999999999999E-2</v>
      </c>
      <c r="L27" s="45">
        <f>ROUND($K$27*L17,2)</f>
        <v>23.21</v>
      </c>
    </row>
    <row r="28" spans="2:13">
      <c r="B28" s="92" t="s">
        <v>19</v>
      </c>
      <c r="C28" s="349" t="s">
        <v>28</v>
      </c>
      <c r="D28" s="349"/>
      <c r="E28" s="349"/>
      <c r="F28" s="349"/>
      <c r="G28" s="349"/>
      <c r="H28" s="349"/>
      <c r="I28" s="349"/>
      <c r="J28" s="349"/>
      <c r="K28" s="44">
        <v>0.01</v>
      </c>
      <c r="L28" s="45">
        <f>ROUND(K28*$L$17,2)</f>
        <v>15.47</v>
      </c>
    </row>
    <row r="29" spans="2:13">
      <c r="B29" s="92" t="s">
        <v>21</v>
      </c>
      <c r="C29" s="349" t="s">
        <v>29</v>
      </c>
      <c r="D29" s="349"/>
      <c r="E29" s="349"/>
      <c r="F29" s="349"/>
      <c r="G29" s="349"/>
      <c r="H29" s="349"/>
      <c r="I29" s="349"/>
      <c r="J29" s="349"/>
      <c r="K29" s="44">
        <v>2E-3</v>
      </c>
      <c r="L29" s="45">
        <f>ROUND(K29*$L$17,2)</f>
        <v>3.09</v>
      </c>
    </row>
    <row r="30" spans="2:13">
      <c r="B30" s="92" t="s">
        <v>23</v>
      </c>
      <c r="C30" s="349" t="s">
        <v>30</v>
      </c>
      <c r="D30" s="349"/>
      <c r="E30" s="349"/>
      <c r="F30" s="349"/>
      <c r="G30" s="349"/>
      <c r="H30" s="349"/>
      <c r="I30" s="349"/>
      <c r="J30" s="349"/>
      <c r="K30" s="44">
        <v>2.5000000000000001E-2</v>
      </c>
      <c r="L30" s="45">
        <f>ROUND(K30*$L$17,2)</f>
        <v>38.68</v>
      </c>
      <c r="M30" s="46"/>
    </row>
    <row r="31" spans="2:13">
      <c r="B31" s="92" t="s">
        <v>6</v>
      </c>
      <c r="C31" s="367" t="s">
        <v>165</v>
      </c>
      <c r="D31" s="369"/>
      <c r="E31" s="454">
        <v>0.08</v>
      </c>
      <c r="F31" s="455"/>
      <c r="G31" s="367" t="s">
        <v>164</v>
      </c>
      <c r="H31" s="368"/>
      <c r="I31" s="368"/>
      <c r="J31" s="369"/>
      <c r="K31" s="44">
        <f>E31*(1+(1/12)+(1/12/3))</f>
        <v>8.8888888888888878E-2</v>
      </c>
      <c r="L31" s="45">
        <f>ROUND(K31*($L$17+(1/3/12*L17)+(1/12*L17)),2)</f>
        <v>152.80000000000001</v>
      </c>
      <c r="M31" s="18" t="s">
        <v>180</v>
      </c>
    </row>
    <row r="32" spans="2:13">
      <c r="B32" s="92" t="s">
        <v>24</v>
      </c>
      <c r="C32" s="349" t="s">
        <v>31</v>
      </c>
      <c r="D32" s="349"/>
      <c r="E32" s="349"/>
      <c r="F32" s="349"/>
      <c r="G32" s="91" t="s">
        <v>32</v>
      </c>
      <c r="H32" s="48">
        <v>0.03</v>
      </c>
      <c r="I32" s="91" t="s">
        <v>33</v>
      </c>
      <c r="J32" s="81">
        <v>1</v>
      </c>
      <c r="K32" s="49">
        <f>H32*J32</f>
        <v>0.03</v>
      </c>
      <c r="L32" s="45">
        <f>ROUND(K32*$L$17,2)</f>
        <v>46.41</v>
      </c>
    </row>
    <row r="33" spans="2:20">
      <c r="B33" s="92" t="s">
        <v>25</v>
      </c>
      <c r="C33" s="349" t="s">
        <v>34</v>
      </c>
      <c r="D33" s="349"/>
      <c r="E33" s="349"/>
      <c r="F33" s="349"/>
      <c r="G33" s="349"/>
      <c r="H33" s="349"/>
      <c r="I33" s="349"/>
      <c r="J33" s="349"/>
      <c r="K33" s="44">
        <v>6.0000000000000001E-3</v>
      </c>
      <c r="L33" s="45">
        <f>ROUND(K33*$L$17,2)</f>
        <v>9.2799999999999994</v>
      </c>
      <c r="M33" s="19"/>
      <c r="N33" s="19"/>
      <c r="O33" s="19"/>
      <c r="P33" s="19"/>
      <c r="Q33" s="19"/>
      <c r="R33" s="19"/>
      <c r="S33" s="19"/>
      <c r="T33" s="19"/>
    </row>
    <row r="34" spans="2:20">
      <c r="B34" s="449" t="s">
        <v>181</v>
      </c>
      <c r="C34" s="348"/>
      <c r="D34" s="348"/>
      <c r="E34" s="348"/>
      <c r="F34" s="348"/>
      <c r="G34" s="348"/>
      <c r="H34" s="348"/>
      <c r="I34" s="348"/>
      <c r="J34" s="450"/>
      <c r="K34" s="52">
        <f>SUM(K26:K33)</f>
        <v>0.37688888888888894</v>
      </c>
      <c r="L34" s="29">
        <f>SUM(L26:L33)</f>
        <v>598.36</v>
      </c>
      <c r="M34" s="19"/>
      <c r="N34" s="19"/>
      <c r="O34" s="19"/>
      <c r="P34" s="19"/>
      <c r="Q34" s="19"/>
      <c r="R34" s="19"/>
      <c r="S34" s="19"/>
      <c r="T34" s="19"/>
    </row>
    <row r="35" spans="2:20">
      <c r="B35" s="113"/>
      <c r="C35" s="114"/>
      <c r="D35" s="114"/>
      <c r="E35" s="114"/>
      <c r="F35" s="114"/>
      <c r="G35" s="114"/>
      <c r="H35" s="114"/>
      <c r="I35" s="114"/>
      <c r="J35" s="115"/>
      <c r="K35" s="52"/>
      <c r="L35" s="29"/>
      <c r="M35" s="19"/>
      <c r="N35" s="19"/>
      <c r="O35" s="19"/>
      <c r="P35" s="19"/>
      <c r="Q35" s="19"/>
      <c r="R35" s="19"/>
      <c r="S35" s="19"/>
      <c r="T35" s="19"/>
    </row>
    <row r="36" spans="2:20">
      <c r="B36" s="407" t="s">
        <v>182</v>
      </c>
      <c r="C36" s="408"/>
      <c r="D36" s="408"/>
      <c r="E36" s="408"/>
      <c r="F36" s="408"/>
      <c r="G36" s="408"/>
      <c r="H36" s="408"/>
      <c r="I36" s="408"/>
      <c r="J36" s="408"/>
      <c r="K36" s="112"/>
      <c r="L36" s="29" t="s">
        <v>178</v>
      </c>
    </row>
    <row r="37" spans="2:20">
      <c r="B37" s="77" t="s">
        <v>13</v>
      </c>
      <c r="C37" s="367" t="str">
        <f>'Benef. e Insumos'!B19</f>
        <v xml:space="preserve">CLÁUSULA SÉTIMA - CESTA BÁSICA </v>
      </c>
      <c r="D37" s="368"/>
      <c r="E37" s="368"/>
      <c r="F37" s="368"/>
      <c r="G37" s="368"/>
      <c r="H37" s="368"/>
      <c r="I37" s="368"/>
      <c r="J37" s="369"/>
      <c r="K37" s="100"/>
      <c r="L37" s="29">
        <f>'Benef. e Insumos'!D21</f>
        <v>0</v>
      </c>
    </row>
    <row r="38" spans="2:20">
      <c r="B38" s="77" t="s">
        <v>15</v>
      </c>
      <c r="C38" s="367" t="str">
        <f>'Benef. e Insumos'!B13</f>
        <v>CLÁUSULA SÉTIMA - TÍQUETE REFEIÇÃO</v>
      </c>
      <c r="D38" s="368"/>
      <c r="E38" s="368"/>
      <c r="F38" s="368"/>
      <c r="G38" s="368"/>
      <c r="H38" s="368"/>
      <c r="I38" s="368"/>
      <c r="J38" s="369"/>
      <c r="K38" s="100"/>
      <c r="L38" s="29">
        <f>'Benef. e Insumos'!H17</f>
        <v>300.12</v>
      </c>
    </row>
    <row r="39" spans="2:20">
      <c r="B39" s="77" t="s">
        <v>19</v>
      </c>
      <c r="C39" s="367" t="e">
        <f>'Benef. e Insumos'!#REF!</f>
        <v>#REF!</v>
      </c>
      <c r="D39" s="368"/>
      <c r="E39" s="368"/>
      <c r="F39" s="368"/>
      <c r="G39" s="368"/>
      <c r="H39" s="368"/>
      <c r="I39" s="368"/>
      <c r="J39" s="369"/>
      <c r="K39" s="100"/>
      <c r="L39" s="29" t="e">
        <f>'Benef. e Insumos'!#REF!</f>
        <v>#REF!</v>
      </c>
    </row>
    <row r="40" spans="2:20">
      <c r="B40" s="99" t="s">
        <v>21</v>
      </c>
      <c r="C40" s="367" t="e">
        <f>'Benef. e Insumos'!#REF!</f>
        <v>#REF!</v>
      </c>
      <c r="D40" s="368"/>
      <c r="E40" s="368"/>
      <c r="F40" s="368"/>
      <c r="G40" s="368"/>
      <c r="H40" s="368"/>
      <c r="I40" s="368"/>
      <c r="J40" s="369"/>
      <c r="K40" s="100"/>
      <c r="L40" s="29" t="e">
        <f>'Benef. e Insumos'!#REF!</f>
        <v>#REF!</v>
      </c>
    </row>
    <row r="41" spans="2:20">
      <c r="B41" s="99" t="s">
        <v>23</v>
      </c>
      <c r="C41" s="367" t="e">
        <f>'Benef. e Insumos'!#REF!</f>
        <v>#REF!</v>
      </c>
      <c r="D41" s="368"/>
      <c r="E41" s="368"/>
      <c r="F41" s="368"/>
      <c r="G41" s="368"/>
      <c r="H41" s="368"/>
      <c r="I41" s="368"/>
      <c r="J41" s="369"/>
      <c r="K41" s="101"/>
      <c r="L41" s="29" t="e">
        <f>'Benef. e Insumos'!#REF!</f>
        <v>#REF!</v>
      </c>
    </row>
    <row r="42" spans="2:20">
      <c r="B42" s="99" t="s">
        <v>6</v>
      </c>
      <c r="C42" s="367" t="e">
        <f>'Benef. e Insumos'!#REF!</f>
        <v>#REF!</v>
      </c>
      <c r="D42" s="368"/>
      <c r="E42" s="368"/>
      <c r="F42" s="368"/>
      <c r="G42" s="368"/>
      <c r="H42" s="368"/>
      <c r="I42" s="368"/>
      <c r="J42" s="369"/>
      <c r="K42" s="102"/>
      <c r="L42" s="29" t="e">
        <f>'Benef. e Insumos'!#REF!</f>
        <v>#REF!</v>
      </c>
    </row>
    <row r="43" spans="2:20">
      <c r="B43" s="99" t="s">
        <v>24</v>
      </c>
      <c r="C43" s="367" t="str">
        <f>'Benef. e Insumos'!B27</f>
        <v xml:space="preserve"> AUXÍLIO TRANSPORTE</v>
      </c>
      <c r="D43" s="368"/>
      <c r="E43" s="368"/>
      <c r="F43" s="368"/>
      <c r="G43" s="368"/>
      <c r="H43" s="368"/>
      <c r="I43" s="368"/>
      <c r="J43" s="369"/>
      <c r="K43" s="102"/>
      <c r="L43" s="29">
        <f>'Benef. e Insumos'!G29</f>
        <v>21.172800000000009</v>
      </c>
    </row>
    <row r="44" spans="2:20">
      <c r="B44" s="99" t="s">
        <v>25</v>
      </c>
      <c r="C44" s="453" t="s">
        <v>3</v>
      </c>
      <c r="D44" s="453"/>
      <c r="E44" s="453"/>
      <c r="F44" s="453"/>
      <c r="G44" s="453"/>
      <c r="H44" s="453"/>
      <c r="I44" s="453"/>
      <c r="J44" s="453"/>
      <c r="K44" s="453"/>
      <c r="L44" s="36">
        <v>0</v>
      </c>
    </row>
    <row r="45" spans="2:20">
      <c r="B45" s="449" t="s">
        <v>184</v>
      </c>
      <c r="C45" s="348"/>
      <c r="D45" s="348"/>
      <c r="E45" s="348"/>
      <c r="F45" s="348"/>
      <c r="G45" s="348"/>
      <c r="H45" s="348"/>
      <c r="I45" s="348"/>
      <c r="J45" s="450"/>
      <c r="K45" s="52"/>
      <c r="L45" s="29" t="e">
        <f>SUM(L37:L44)</f>
        <v>#REF!</v>
      </c>
    </row>
    <row r="46" spans="2:20">
      <c r="B46" s="113"/>
      <c r="C46" s="114"/>
      <c r="D46" s="114"/>
      <c r="E46" s="114"/>
      <c r="F46" s="114"/>
      <c r="G46" s="114"/>
      <c r="H46" s="114"/>
      <c r="I46" s="114"/>
      <c r="J46" s="115"/>
      <c r="K46" s="52"/>
      <c r="L46" s="29"/>
    </row>
    <row r="47" spans="2:20">
      <c r="B47" s="393" t="s">
        <v>185</v>
      </c>
      <c r="C47" s="393"/>
      <c r="D47" s="393"/>
      <c r="E47" s="393"/>
      <c r="F47" s="393"/>
      <c r="G47" s="393"/>
      <c r="H47" s="393"/>
      <c r="I47" s="393"/>
      <c r="J47" s="393"/>
      <c r="K47" s="393"/>
      <c r="L47" s="24" t="str">
        <f>L5</f>
        <v>SERVENTE</v>
      </c>
    </row>
    <row r="48" spans="2:20">
      <c r="B48" s="110" t="s">
        <v>186</v>
      </c>
      <c r="C48" s="367" t="s">
        <v>189</v>
      </c>
      <c r="D48" s="368"/>
      <c r="E48" s="368"/>
      <c r="F48" s="368"/>
      <c r="G48" s="368"/>
      <c r="H48" s="368"/>
      <c r="I48" s="368"/>
      <c r="J48" s="369"/>
      <c r="K48" s="100"/>
      <c r="L48" s="29">
        <f>L23</f>
        <v>171.88503199999997</v>
      </c>
    </row>
    <row r="49" spans="2:12">
      <c r="B49" s="110" t="s">
        <v>187</v>
      </c>
      <c r="C49" s="367" t="s">
        <v>190</v>
      </c>
      <c r="D49" s="368"/>
      <c r="E49" s="368"/>
      <c r="F49" s="368"/>
      <c r="G49" s="368"/>
      <c r="H49" s="368"/>
      <c r="I49" s="368"/>
      <c r="J49" s="369"/>
      <c r="K49" s="100"/>
      <c r="L49" s="29">
        <f>L34</f>
        <v>598.36</v>
      </c>
    </row>
    <row r="50" spans="2:12">
      <c r="B50" s="110" t="s">
        <v>188</v>
      </c>
      <c r="C50" s="367" t="s">
        <v>192</v>
      </c>
      <c r="D50" s="368"/>
      <c r="E50" s="368"/>
      <c r="F50" s="368"/>
      <c r="G50" s="368"/>
      <c r="H50" s="368"/>
      <c r="I50" s="368"/>
      <c r="J50" s="369"/>
      <c r="K50" s="100"/>
      <c r="L50" s="29" t="e">
        <f>L45</f>
        <v>#REF!</v>
      </c>
    </row>
    <row r="51" spans="2:12">
      <c r="B51" s="355" t="s">
        <v>191</v>
      </c>
      <c r="C51" s="356"/>
      <c r="D51" s="356"/>
      <c r="E51" s="356"/>
      <c r="F51" s="356"/>
      <c r="G51" s="356"/>
      <c r="H51" s="356"/>
      <c r="I51" s="356"/>
      <c r="J51" s="357"/>
      <c r="K51" s="121"/>
      <c r="L51" s="122" t="e">
        <f>SUM(L48:L50)</f>
        <v>#REF!</v>
      </c>
    </row>
    <row r="52" spans="2:12">
      <c r="B52" s="350"/>
      <c r="C52" s="351"/>
      <c r="D52" s="351"/>
      <c r="E52" s="351"/>
      <c r="F52" s="351"/>
      <c r="G52" s="351"/>
      <c r="H52" s="351"/>
      <c r="I52" s="351"/>
      <c r="J52" s="351"/>
      <c r="K52" s="351"/>
      <c r="L52" s="351"/>
    </row>
    <row r="53" spans="2:12">
      <c r="B53" s="409" t="s">
        <v>183</v>
      </c>
      <c r="C53" s="409"/>
      <c r="D53" s="409"/>
      <c r="E53" s="409"/>
      <c r="F53" s="409"/>
      <c r="G53" s="409"/>
      <c r="H53" s="409"/>
      <c r="I53" s="409"/>
      <c r="J53" s="409"/>
      <c r="K53" s="117" t="s">
        <v>18</v>
      </c>
      <c r="L53" s="118" t="s">
        <v>178</v>
      </c>
    </row>
    <row r="54" spans="2:12">
      <c r="B54" s="77" t="s">
        <v>13</v>
      </c>
      <c r="C54" s="349" t="s">
        <v>35</v>
      </c>
      <c r="D54" s="349"/>
      <c r="E54" s="349"/>
      <c r="F54" s="349"/>
      <c r="G54" s="349"/>
      <c r="H54" s="349"/>
      <c r="I54" s="56">
        <v>30</v>
      </c>
      <c r="J54" s="57">
        <v>0.05</v>
      </c>
      <c r="K54" s="52">
        <f>I54/30/12*J54</f>
        <v>4.1666666666666666E-3</v>
      </c>
      <c r="L54" s="29">
        <f t="shared" ref="L54:L59" si="0">ROUND(K54*$L$17,2)</f>
        <v>6.45</v>
      </c>
    </row>
    <row r="55" spans="2:12">
      <c r="B55" s="77" t="s">
        <v>15</v>
      </c>
      <c r="C55" s="349" t="s">
        <v>36</v>
      </c>
      <c r="D55" s="349"/>
      <c r="E55" s="349"/>
      <c r="F55" s="349"/>
      <c r="G55" s="349"/>
      <c r="H55" s="349"/>
      <c r="I55" s="349"/>
      <c r="J55" s="349"/>
      <c r="K55" s="52">
        <f>K31*K54</f>
        <v>3.703703703703703E-4</v>
      </c>
      <c r="L55" s="29">
        <f t="shared" si="0"/>
        <v>0.56999999999999995</v>
      </c>
    </row>
    <row r="56" spans="2:12">
      <c r="B56" s="110" t="s">
        <v>19</v>
      </c>
      <c r="C56" s="349" t="s">
        <v>194</v>
      </c>
      <c r="D56" s="349"/>
      <c r="E56" s="349"/>
      <c r="F56" s="349"/>
      <c r="G56" s="349"/>
      <c r="H56" s="349"/>
      <c r="I56" s="349"/>
      <c r="J56" s="349"/>
      <c r="K56" s="52">
        <f>0.5*K55</f>
        <v>1.8518518518518515E-4</v>
      </c>
      <c r="L56" s="29">
        <f t="shared" si="0"/>
        <v>0.28999999999999998</v>
      </c>
    </row>
    <row r="57" spans="2:12">
      <c r="B57" s="110" t="s">
        <v>21</v>
      </c>
      <c r="C57" s="349" t="s">
        <v>196</v>
      </c>
      <c r="D57" s="349"/>
      <c r="E57" s="349"/>
      <c r="F57" s="349"/>
      <c r="G57" s="349"/>
      <c r="H57" s="349"/>
      <c r="I57" s="349"/>
      <c r="J57" s="349"/>
      <c r="K57" s="52">
        <v>4.0000000000000002E-4</v>
      </c>
      <c r="L57" s="29">
        <f t="shared" si="0"/>
        <v>0.62</v>
      </c>
    </row>
    <row r="58" spans="2:12">
      <c r="B58" s="110" t="s">
        <v>23</v>
      </c>
      <c r="C58" s="349" t="s">
        <v>195</v>
      </c>
      <c r="D58" s="349"/>
      <c r="E58" s="349"/>
      <c r="F58" s="349"/>
      <c r="G58" s="349"/>
      <c r="H58" s="349"/>
      <c r="I58" s="349"/>
      <c r="J58" s="349"/>
      <c r="K58" s="52">
        <f>K34*K57</f>
        <v>1.5075555555555558E-4</v>
      </c>
      <c r="L58" s="29">
        <f t="shared" si="0"/>
        <v>0.23</v>
      </c>
    </row>
    <row r="59" spans="2:12">
      <c r="B59" s="110" t="s">
        <v>6</v>
      </c>
      <c r="C59" s="349" t="s">
        <v>197</v>
      </c>
      <c r="D59" s="349"/>
      <c r="E59" s="349"/>
      <c r="F59" s="349"/>
      <c r="G59" s="349"/>
      <c r="H59" s="349"/>
      <c r="I59" s="349"/>
      <c r="J59" s="349"/>
      <c r="K59" s="116">
        <f>0.5*0.08*K57</f>
        <v>1.6000000000000003E-5</v>
      </c>
      <c r="L59" s="29">
        <f t="shared" si="0"/>
        <v>0.02</v>
      </c>
    </row>
    <row r="60" spans="2:12" ht="15" customHeight="1">
      <c r="B60" s="355" t="s">
        <v>193</v>
      </c>
      <c r="C60" s="356"/>
      <c r="D60" s="356"/>
      <c r="E60" s="356"/>
      <c r="F60" s="356"/>
      <c r="G60" s="356"/>
      <c r="H60" s="356"/>
      <c r="I60" s="356"/>
      <c r="J60" s="357"/>
      <c r="K60" s="121"/>
      <c r="L60" s="122">
        <f>SUM(L54:L59)</f>
        <v>8.18</v>
      </c>
    </row>
    <row r="61" spans="2:12">
      <c r="B61" s="37"/>
      <c r="C61" s="33"/>
      <c r="D61" s="33"/>
      <c r="E61" s="37"/>
      <c r="F61" s="37"/>
      <c r="G61" s="37"/>
      <c r="H61" s="37"/>
      <c r="I61" s="38"/>
      <c r="J61" s="39"/>
      <c r="K61" s="37"/>
    </row>
    <row r="62" spans="2:12">
      <c r="B62" s="409" t="s">
        <v>198</v>
      </c>
      <c r="C62" s="409"/>
      <c r="D62" s="409"/>
      <c r="E62" s="409"/>
      <c r="F62" s="409"/>
      <c r="G62" s="409"/>
      <c r="H62" s="409"/>
      <c r="I62" s="409"/>
      <c r="J62" s="409"/>
      <c r="K62" s="117"/>
      <c r="L62" s="118"/>
    </row>
    <row r="63" spans="2:12">
      <c r="B63" s="407" t="s">
        <v>203</v>
      </c>
      <c r="C63" s="408"/>
      <c r="D63" s="408"/>
      <c r="E63" s="408"/>
      <c r="F63" s="408"/>
      <c r="G63" s="408"/>
      <c r="H63" s="408"/>
      <c r="I63" s="408"/>
      <c r="J63" s="408"/>
      <c r="K63" s="112" t="s">
        <v>18</v>
      </c>
      <c r="L63" s="29" t="s">
        <v>178</v>
      </c>
    </row>
    <row r="64" spans="2:12">
      <c r="B64" s="77" t="s">
        <v>13</v>
      </c>
      <c r="C64" s="384" t="s">
        <v>199</v>
      </c>
      <c r="D64" s="384"/>
      <c r="E64" s="384"/>
      <c r="F64" s="384"/>
      <c r="G64" s="384"/>
      <c r="H64" s="384"/>
      <c r="I64" s="384"/>
      <c r="J64" s="384"/>
      <c r="K64" s="59">
        <f>1/12</f>
        <v>8.3333333333333329E-2</v>
      </c>
      <c r="L64" s="29">
        <f>K64*$L$17</f>
        <v>128.92666666666665</v>
      </c>
    </row>
    <row r="65" spans="2:13">
      <c r="B65" s="77" t="s">
        <v>15</v>
      </c>
      <c r="C65" s="349" t="s">
        <v>200</v>
      </c>
      <c r="D65" s="349"/>
      <c r="E65" s="349"/>
      <c r="F65" s="349"/>
      <c r="G65" s="451" t="s">
        <v>38</v>
      </c>
      <c r="H65" s="451"/>
      <c r="I65" s="451"/>
      <c r="J65" s="60">
        <v>3</v>
      </c>
      <c r="K65" s="59">
        <f>J65/30/12</f>
        <v>8.3333333333333332E-3</v>
      </c>
      <c r="L65" s="29">
        <f>K65*$L$17</f>
        <v>12.892666666666665</v>
      </c>
      <c r="M65" s="18" t="s">
        <v>180</v>
      </c>
    </row>
    <row r="66" spans="2:13">
      <c r="B66" s="77" t="s">
        <v>19</v>
      </c>
      <c r="C66" s="349" t="s">
        <v>39</v>
      </c>
      <c r="D66" s="349"/>
      <c r="E66" s="349"/>
      <c r="F66" s="349"/>
      <c r="G66" s="451" t="s">
        <v>37</v>
      </c>
      <c r="H66" s="451"/>
      <c r="I66" s="54">
        <v>1.4999999999999999E-2</v>
      </c>
      <c r="J66" s="61">
        <v>5</v>
      </c>
      <c r="K66" s="59">
        <f>J66/30/12*I66</f>
        <v>2.0833333333333332E-4</v>
      </c>
      <c r="L66" s="29">
        <f t="shared" ref="L66:L69" si="1">K66*$L$17</f>
        <v>0.32231666666666664</v>
      </c>
    </row>
    <row r="67" spans="2:13">
      <c r="B67" s="77" t="s">
        <v>21</v>
      </c>
      <c r="C67" s="451" t="s">
        <v>201</v>
      </c>
      <c r="D67" s="451"/>
      <c r="E67" s="451"/>
      <c r="F67" s="60"/>
      <c r="G67" s="451" t="s">
        <v>37</v>
      </c>
      <c r="H67" s="451"/>
      <c r="I67" s="54">
        <v>7.7999999999999996E-3</v>
      </c>
      <c r="J67" s="62">
        <v>15</v>
      </c>
      <c r="K67" s="59">
        <f>J67/30/12*I67</f>
        <v>3.2499999999999999E-4</v>
      </c>
      <c r="L67" s="29">
        <f t="shared" si="1"/>
        <v>0.50281399999999998</v>
      </c>
    </row>
    <row r="68" spans="2:13">
      <c r="B68" s="77" t="s">
        <v>23</v>
      </c>
      <c r="C68" s="451" t="s">
        <v>202</v>
      </c>
      <c r="D68" s="451"/>
      <c r="E68" s="451"/>
      <c r="F68" s="60"/>
      <c r="G68" s="452"/>
      <c r="H68" s="451"/>
      <c r="I68" s="54"/>
      <c r="J68" s="62"/>
      <c r="K68" s="59">
        <v>6.1000000000000004E-3</v>
      </c>
      <c r="L68" s="29">
        <f t="shared" si="1"/>
        <v>9.4374319999999994</v>
      </c>
      <c r="M68" s="82" t="s">
        <v>180</v>
      </c>
    </row>
    <row r="69" spans="2:13">
      <c r="B69" s="77" t="s">
        <v>6</v>
      </c>
      <c r="C69" s="453" t="s">
        <v>3</v>
      </c>
      <c r="D69" s="453"/>
      <c r="E69" s="453" t="s">
        <v>40</v>
      </c>
      <c r="F69" s="453"/>
      <c r="G69" s="453"/>
      <c r="H69" s="453"/>
      <c r="I69" s="453"/>
      <c r="J69" s="453"/>
      <c r="K69" s="63"/>
      <c r="L69" s="29">
        <f t="shared" si="1"/>
        <v>0</v>
      </c>
      <c r="M69" s="82"/>
    </row>
    <row r="70" spans="2:13">
      <c r="B70" s="449" t="s">
        <v>204</v>
      </c>
      <c r="C70" s="348"/>
      <c r="D70" s="348"/>
      <c r="E70" s="348"/>
      <c r="F70" s="348"/>
      <c r="G70" s="348"/>
      <c r="H70" s="348"/>
      <c r="I70" s="348"/>
      <c r="J70" s="450"/>
      <c r="K70" s="64"/>
      <c r="L70" s="29">
        <f>SUM(L64:L69)</f>
        <v>152.08189599999997</v>
      </c>
    </row>
    <row r="71" spans="2:13">
      <c r="B71" s="113"/>
      <c r="C71" s="114"/>
      <c r="D71" s="114"/>
      <c r="E71" s="114"/>
      <c r="F71" s="114"/>
      <c r="G71" s="114"/>
      <c r="H71" s="114"/>
      <c r="I71" s="114"/>
      <c r="J71" s="115"/>
      <c r="K71" s="52"/>
      <c r="L71" s="29"/>
    </row>
    <row r="72" spans="2:13">
      <c r="B72" s="407" t="s">
        <v>205</v>
      </c>
      <c r="C72" s="408"/>
      <c r="D72" s="408"/>
      <c r="E72" s="408"/>
      <c r="F72" s="408"/>
      <c r="G72" s="408"/>
      <c r="H72" s="408"/>
      <c r="I72" s="408"/>
      <c r="J72" s="408"/>
      <c r="K72" s="112" t="s">
        <v>18</v>
      </c>
      <c r="L72" s="29" t="s">
        <v>178</v>
      </c>
    </row>
    <row r="73" spans="2:13">
      <c r="B73" s="110" t="s">
        <v>13</v>
      </c>
      <c r="C73" s="384" t="s">
        <v>206</v>
      </c>
      <c r="D73" s="384"/>
      <c r="E73" s="384"/>
      <c r="F73" s="384"/>
      <c r="G73" s="384"/>
      <c r="H73" s="384"/>
      <c r="I73" s="384"/>
      <c r="J73" s="384"/>
      <c r="K73" s="59">
        <v>0</v>
      </c>
      <c r="L73" s="29">
        <f>K73*$L$17</f>
        <v>0</v>
      </c>
    </row>
    <row r="74" spans="2:13">
      <c r="B74" s="449" t="s">
        <v>207</v>
      </c>
      <c r="C74" s="348"/>
      <c r="D74" s="348"/>
      <c r="E74" s="348"/>
      <c r="F74" s="348"/>
      <c r="G74" s="348"/>
      <c r="H74" s="348"/>
      <c r="I74" s="348"/>
      <c r="J74" s="450"/>
      <c r="K74" s="64"/>
      <c r="L74" s="29">
        <f>SUM(L73:L73)</f>
        <v>0</v>
      </c>
    </row>
    <row r="75" spans="2:13">
      <c r="B75" s="113"/>
      <c r="C75" s="114"/>
      <c r="D75" s="114"/>
      <c r="E75" s="114"/>
      <c r="F75" s="114"/>
      <c r="G75" s="114"/>
      <c r="H75" s="114"/>
      <c r="I75" s="114"/>
      <c r="J75" s="114"/>
      <c r="K75" s="119"/>
      <c r="L75" s="29"/>
    </row>
    <row r="76" spans="2:13">
      <c r="B76" s="393" t="s">
        <v>208</v>
      </c>
      <c r="C76" s="393"/>
      <c r="D76" s="393"/>
      <c r="E76" s="393"/>
      <c r="F76" s="393"/>
      <c r="G76" s="393"/>
      <c r="H76" s="393"/>
      <c r="I76" s="393"/>
      <c r="J76" s="393"/>
      <c r="K76" s="393"/>
      <c r="L76" s="24">
        <f>L34</f>
        <v>598.36</v>
      </c>
    </row>
    <row r="77" spans="2:13">
      <c r="B77" s="110" t="s">
        <v>209</v>
      </c>
      <c r="C77" s="367" t="s">
        <v>200</v>
      </c>
      <c r="D77" s="368"/>
      <c r="E77" s="368"/>
      <c r="F77" s="368"/>
      <c r="G77" s="368"/>
      <c r="H77" s="368"/>
      <c r="I77" s="368"/>
      <c r="J77" s="369"/>
      <c r="K77" s="100"/>
      <c r="L77" s="29">
        <f>L70</f>
        <v>152.08189599999997</v>
      </c>
    </row>
    <row r="78" spans="2:13">
      <c r="B78" s="110" t="s">
        <v>210</v>
      </c>
      <c r="C78" s="367" t="s">
        <v>211</v>
      </c>
      <c r="D78" s="368"/>
      <c r="E78" s="368"/>
      <c r="F78" s="368"/>
      <c r="G78" s="368"/>
      <c r="H78" s="368"/>
      <c r="I78" s="368"/>
      <c r="J78" s="369"/>
      <c r="K78" s="100"/>
      <c r="L78" s="29">
        <f>L74</f>
        <v>0</v>
      </c>
    </row>
    <row r="79" spans="2:13">
      <c r="B79" s="355" t="s">
        <v>212</v>
      </c>
      <c r="C79" s="356"/>
      <c r="D79" s="356"/>
      <c r="E79" s="356"/>
      <c r="F79" s="356"/>
      <c r="G79" s="356"/>
      <c r="H79" s="356"/>
      <c r="I79" s="356"/>
      <c r="J79" s="357"/>
      <c r="K79" s="121"/>
      <c r="L79" s="122">
        <f>SUM(L77:L78)</f>
        <v>152.08189599999997</v>
      </c>
    </row>
    <row r="80" spans="2:13">
      <c r="B80" s="350"/>
      <c r="C80" s="351"/>
      <c r="D80" s="351"/>
      <c r="E80" s="351"/>
      <c r="F80" s="351"/>
      <c r="G80" s="351"/>
      <c r="H80" s="351"/>
      <c r="I80" s="351"/>
      <c r="J80" s="351"/>
      <c r="K80" s="351"/>
      <c r="L80" s="351"/>
    </row>
    <row r="81" spans="2:13">
      <c r="B81" s="409" t="s">
        <v>213</v>
      </c>
      <c r="C81" s="409"/>
      <c r="D81" s="409"/>
      <c r="E81" s="409"/>
      <c r="F81" s="409"/>
      <c r="G81" s="409"/>
      <c r="H81" s="409"/>
      <c r="I81" s="409"/>
      <c r="J81" s="409"/>
      <c r="K81" s="117"/>
      <c r="L81" s="118"/>
      <c r="M81" s="40"/>
    </row>
    <row r="82" spans="2:13">
      <c r="B82" s="77" t="s">
        <v>13</v>
      </c>
      <c r="C82" s="427" t="s">
        <v>66</v>
      </c>
      <c r="D82" s="427"/>
      <c r="E82" s="427"/>
      <c r="F82" s="427"/>
      <c r="G82" s="427"/>
      <c r="H82" s="427"/>
      <c r="I82" s="427"/>
      <c r="J82" s="427"/>
      <c r="K82" s="427"/>
      <c r="L82" s="29">
        <f>'Benef. e Insumos'!H54</f>
        <v>89.157499999999999</v>
      </c>
    </row>
    <row r="83" spans="2:13">
      <c r="B83" s="77" t="s">
        <v>15</v>
      </c>
      <c r="C83" s="374" t="s">
        <v>215</v>
      </c>
      <c r="D83" s="426"/>
      <c r="E83" s="441" t="s">
        <v>67</v>
      </c>
      <c r="F83" s="442"/>
      <c r="G83" s="442"/>
      <c r="H83" s="442"/>
      <c r="I83" s="443"/>
      <c r="J83" s="462">
        <v>0.12</v>
      </c>
      <c r="K83" s="463"/>
      <c r="L83" s="36" t="e">
        <f>(L17+L51+L60+L79+L82)/(1-J83)*J83</f>
        <v>#REF!</v>
      </c>
      <c r="M83" s="41"/>
    </row>
    <row r="84" spans="2:13">
      <c r="B84" s="111" t="s">
        <v>222</v>
      </c>
      <c r="C84" s="374" t="s">
        <v>223</v>
      </c>
      <c r="D84" s="426"/>
      <c r="E84" s="441"/>
      <c r="F84" s="442"/>
      <c r="G84" s="442"/>
      <c r="H84" s="442"/>
      <c r="I84" s="443"/>
      <c r="J84" s="444">
        <f>H95+H96</f>
        <v>9.2499999999999999E-2</v>
      </c>
      <c r="K84" s="445"/>
      <c r="L84" s="36" t="e">
        <f>-J84*L83</f>
        <v>#REF!</v>
      </c>
      <c r="M84" s="41"/>
    </row>
    <row r="85" spans="2:13">
      <c r="B85" s="110" t="s">
        <v>19</v>
      </c>
      <c r="C85" s="103" t="s">
        <v>214</v>
      </c>
      <c r="D85" s="104"/>
      <c r="E85" s="105"/>
      <c r="F85" s="106"/>
      <c r="G85" s="106"/>
      <c r="H85" s="106"/>
      <c r="I85" s="107"/>
      <c r="J85" s="108"/>
      <c r="K85" s="109"/>
      <c r="L85" s="36"/>
      <c r="M85" s="41"/>
    </row>
    <row r="86" spans="2:13">
      <c r="B86" s="77" t="s">
        <v>216</v>
      </c>
      <c r="C86" s="453" t="s">
        <v>3</v>
      </c>
      <c r="D86" s="453"/>
      <c r="E86" s="453"/>
      <c r="F86" s="453"/>
      <c r="G86" s="453"/>
      <c r="H86" s="453"/>
      <c r="I86" s="453"/>
      <c r="J86" s="453"/>
      <c r="K86" s="453"/>
      <c r="L86" s="36">
        <v>0</v>
      </c>
    </row>
    <row r="87" spans="2:13">
      <c r="B87" s="355" t="s">
        <v>219</v>
      </c>
      <c r="C87" s="356"/>
      <c r="D87" s="356"/>
      <c r="E87" s="356"/>
      <c r="F87" s="356"/>
      <c r="G87" s="356"/>
      <c r="H87" s="356"/>
      <c r="I87" s="356"/>
      <c r="J87" s="357"/>
      <c r="K87" s="121"/>
      <c r="L87" s="122" t="e">
        <f>SUM(L82:L86)</f>
        <v>#REF!</v>
      </c>
    </row>
    <row r="88" spans="2:13">
      <c r="B88" s="42"/>
      <c r="C88" s="42"/>
      <c r="D88" s="42"/>
      <c r="E88" s="42"/>
      <c r="F88" s="42"/>
      <c r="G88" s="42"/>
      <c r="H88" s="42"/>
      <c r="I88" s="55"/>
      <c r="J88" s="42"/>
      <c r="K88" s="42"/>
    </row>
    <row r="89" spans="2:13">
      <c r="B89" s="33"/>
      <c r="C89" s="33"/>
      <c r="D89" s="33"/>
      <c r="E89" s="33"/>
      <c r="F89" s="33"/>
      <c r="G89" s="33"/>
      <c r="H89" s="66"/>
      <c r="I89" s="66"/>
      <c r="J89" s="66"/>
      <c r="K89" s="66"/>
      <c r="L89" s="67"/>
    </row>
    <row r="90" spans="2:13">
      <c r="B90" s="409" t="s">
        <v>217</v>
      </c>
      <c r="C90" s="409"/>
      <c r="D90" s="409"/>
      <c r="E90" s="409"/>
      <c r="F90" s="409"/>
      <c r="G90" s="409"/>
      <c r="H90" s="409"/>
      <c r="I90" s="409"/>
      <c r="J90" s="409"/>
      <c r="K90" s="117"/>
      <c r="L90" s="118" t="str">
        <f>L5</f>
        <v>SERVENTE</v>
      </c>
    </row>
    <row r="91" spans="2:13">
      <c r="B91" s="77" t="s">
        <v>13</v>
      </c>
      <c r="C91" s="384" t="s">
        <v>218</v>
      </c>
      <c r="D91" s="384"/>
      <c r="E91" s="384"/>
      <c r="F91" s="384"/>
      <c r="G91" s="384"/>
      <c r="H91" s="384"/>
      <c r="I91" s="384"/>
      <c r="J91" s="384"/>
      <c r="K91" s="83">
        <v>0.05</v>
      </c>
      <c r="L91" s="45" t="e">
        <f>K91*L110</f>
        <v>#REF!</v>
      </c>
      <c r="M91" s="68"/>
    </row>
    <row r="92" spans="2:13">
      <c r="B92" s="77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3">
        <v>6.8099999999999994E-2</v>
      </c>
      <c r="L92" s="45" t="e">
        <f>K92*L110</f>
        <v>#REF!</v>
      </c>
      <c r="M92" s="68"/>
    </row>
    <row r="93" spans="2:13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 t="e">
        <f>L110+L91+L92</f>
        <v>#REF!</v>
      </c>
      <c r="K93" s="366"/>
      <c r="L93" s="65"/>
    </row>
    <row r="94" spans="2:13">
      <c r="B94" s="361"/>
      <c r="C94" s="447" t="s">
        <v>43</v>
      </c>
      <c r="D94" s="410"/>
      <c r="E94" s="410"/>
      <c r="F94" s="448"/>
      <c r="G94" s="58"/>
      <c r="H94" s="58" t="s">
        <v>44</v>
      </c>
      <c r="I94" s="58"/>
      <c r="J94" s="370"/>
      <c r="K94" s="371"/>
      <c r="L94" s="65"/>
    </row>
    <row r="95" spans="2:13">
      <c r="B95" s="361"/>
      <c r="C95" s="446" t="s">
        <v>45</v>
      </c>
      <c r="D95" s="446"/>
      <c r="E95" s="446"/>
      <c r="F95" s="446"/>
      <c r="G95" s="84" t="s">
        <v>46</v>
      </c>
      <c r="H95" s="53">
        <v>1.6500000000000001E-2</v>
      </c>
      <c r="I95" s="372">
        <f>SUM(H95:H100)</f>
        <v>0.13250000000000001</v>
      </c>
      <c r="J95" s="359" t="e">
        <f>ROUND($L$112*H95,2)</f>
        <v>#REF!</v>
      </c>
      <c r="K95" s="360"/>
      <c r="L95" s="423" t="e">
        <f>SUM(J95:K100)</f>
        <v>#REF!</v>
      </c>
    </row>
    <row r="96" spans="2:13">
      <c r="B96" s="361"/>
      <c r="C96" s="446"/>
      <c r="D96" s="446"/>
      <c r="E96" s="446"/>
      <c r="F96" s="446"/>
      <c r="G96" s="84" t="s">
        <v>47</v>
      </c>
      <c r="H96" s="53">
        <v>7.5999999999999998E-2</v>
      </c>
      <c r="I96" s="372"/>
      <c r="J96" s="359" t="e">
        <f t="shared" ref="J96:J100" si="2">ROUND($L$112*H96,2)</f>
        <v>#REF!</v>
      </c>
      <c r="K96" s="360"/>
      <c r="L96" s="424"/>
    </row>
    <row r="97" spans="2:12">
      <c r="B97" s="361"/>
      <c r="C97" s="446"/>
      <c r="D97" s="446"/>
      <c r="E97" s="446"/>
      <c r="F97" s="446"/>
      <c r="G97" s="84" t="s">
        <v>48</v>
      </c>
      <c r="H97" s="53">
        <v>0</v>
      </c>
      <c r="I97" s="372"/>
      <c r="J97" s="359" t="e">
        <f t="shared" si="2"/>
        <v>#REF!</v>
      </c>
      <c r="K97" s="360"/>
      <c r="L97" s="424"/>
    </row>
    <row r="98" spans="2:12">
      <c r="B98" s="361"/>
      <c r="C98" s="446" t="s">
        <v>49</v>
      </c>
      <c r="D98" s="446"/>
      <c r="E98" s="446"/>
      <c r="F98" s="446"/>
      <c r="G98" s="85" t="s">
        <v>50</v>
      </c>
      <c r="H98" s="53">
        <v>0.04</v>
      </c>
      <c r="I98" s="372"/>
      <c r="J98" s="359" t="e">
        <f t="shared" si="2"/>
        <v>#REF!</v>
      </c>
      <c r="K98" s="360"/>
      <c r="L98" s="424"/>
    </row>
    <row r="99" spans="2:12">
      <c r="B99" s="361"/>
      <c r="C99" s="446"/>
      <c r="D99" s="446"/>
      <c r="E99" s="446"/>
      <c r="F99" s="446"/>
      <c r="G99" s="85" t="s">
        <v>48</v>
      </c>
      <c r="H99" s="53">
        <v>0</v>
      </c>
      <c r="I99" s="372"/>
      <c r="J99" s="359" t="e">
        <f t="shared" si="2"/>
        <v>#REF!</v>
      </c>
      <c r="K99" s="360"/>
      <c r="L99" s="424"/>
    </row>
    <row r="100" spans="2:12">
      <c r="B100" s="361"/>
      <c r="C100" s="446" t="s">
        <v>51</v>
      </c>
      <c r="D100" s="446"/>
      <c r="E100" s="446"/>
      <c r="F100" s="446"/>
      <c r="G100" s="85"/>
      <c r="H100" s="53">
        <v>0</v>
      </c>
      <c r="I100" s="372"/>
      <c r="J100" s="359" t="e">
        <f t="shared" si="2"/>
        <v>#REF!</v>
      </c>
      <c r="K100" s="360"/>
      <c r="L100" s="425"/>
    </row>
    <row r="101" spans="2:12">
      <c r="B101" s="361" t="s">
        <v>52</v>
      </c>
      <c r="C101" s="361"/>
      <c r="D101" s="361"/>
      <c r="E101" s="361"/>
      <c r="F101" s="361"/>
      <c r="G101" s="361"/>
      <c r="H101" s="361"/>
      <c r="I101" s="361"/>
      <c r="J101" s="361"/>
      <c r="K101" s="361"/>
      <c r="L101" s="78" t="e">
        <f>L95+L92+L91</f>
        <v>#REF!</v>
      </c>
    </row>
    <row r="102" spans="2:12">
      <c r="B102" s="69"/>
      <c r="C102" s="69"/>
      <c r="D102" s="69"/>
      <c r="E102" s="69"/>
      <c r="F102" s="69"/>
      <c r="G102" s="69"/>
      <c r="H102" s="69"/>
      <c r="I102" s="70"/>
      <c r="J102" s="71"/>
      <c r="K102" s="69"/>
    </row>
    <row r="103" spans="2:12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2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4" t="str">
        <f>L5</f>
        <v>SERVENTE</v>
      </c>
    </row>
    <row r="105" spans="2:12">
      <c r="B105" s="77" t="s">
        <v>13</v>
      </c>
      <c r="C105" s="384" t="str">
        <f>B6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2">
        <f>L17</f>
        <v>1547.12</v>
      </c>
    </row>
    <row r="106" spans="2:12">
      <c r="B106" s="77" t="s">
        <v>15</v>
      </c>
      <c r="C106" s="384" t="str">
        <f>B19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2" t="e">
        <f>L51</f>
        <v>#REF!</v>
      </c>
    </row>
    <row r="107" spans="2:12">
      <c r="B107" s="77" t="s">
        <v>19</v>
      </c>
      <c r="C107" s="384" t="str">
        <f>B53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2">
        <f>L60</f>
        <v>8.18</v>
      </c>
    </row>
    <row r="108" spans="2:12">
      <c r="B108" s="77" t="s">
        <v>21</v>
      </c>
      <c r="C108" s="384" t="str">
        <f>B62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2">
        <f>L79</f>
        <v>152.08189599999997</v>
      </c>
    </row>
    <row r="109" spans="2:12">
      <c r="B109" s="110" t="s">
        <v>23</v>
      </c>
      <c r="C109" s="384" t="str">
        <f>B81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2" t="e">
        <f>L87</f>
        <v>#REF!</v>
      </c>
    </row>
    <row r="110" spans="2:12">
      <c r="B110" s="395" t="s">
        <v>221</v>
      </c>
      <c r="C110" s="395"/>
      <c r="D110" s="395"/>
      <c r="E110" s="395"/>
      <c r="F110" s="395"/>
      <c r="G110" s="395"/>
      <c r="H110" s="395"/>
      <c r="I110" s="395"/>
      <c r="J110" s="395"/>
      <c r="K110" s="395"/>
      <c r="L110" s="79" t="e">
        <f>SUM(L105:L109)</f>
        <v>#REF!</v>
      </c>
    </row>
    <row r="111" spans="2:12">
      <c r="B111" s="77" t="s">
        <v>23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3" t="e">
        <f>L112-L110</f>
        <v>#REF!</v>
      </c>
    </row>
    <row r="112" spans="2:12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80" t="e">
        <f>ROUND(J93/(1-$I$95),2)</f>
        <v>#REF!</v>
      </c>
    </row>
    <row r="113" spans="6:12">
      <c r="K113" s="68"/>
    </row>
    <row r="115" spans="6:12">
      <c r="F115" s="390" t="s">
        <v>57</v>
      </c>
      <c r="G115" s="391"/>
      <c r="H115" s="391"/>
      <c r="I115" s="392"/>
      <c r="J115" s="18"/>
      <c r="L115" s="18"/>
    </row>
    <row r="116" spans="6:12">
      <c r="F116" s="390" t="s">
        <v>58</v>
      </c>
      <c r="G116" s="391"/>
      <c r="H116" s="392"/>
      <c r="I116" s="74" t="s">
        <v>18</v>
      </c>
      <c r="J116" s="18"/>
      <c r="L116" s="18"/>
    </row>
    <row r="117" spans="6:12">
      <c r="F117" s="75" t="s">
        <v>59</v>
      </c>
      <c r="G117" s="75"/>
      <c r="H117" s="76"/>
      <c r="I117" s="76">
        <f>K91</f>
        <v>0.05</v>
      </c>
      <c r="J117" s="18"/>
      <c r="L117" s="18"/>
    </row>
    <row r="118" spans="6:12">
      <c r="F118" s="378" t="s">
        <v>41</v>
      </c>
      <c r="G118" s="379"/>
      <c r="H118" s="380"/>
      <c r="I118" s="76">
        <f>K92</f>
        <v>6.8099999999999994E-2</v>
      </c>
      <c r="J118" s="18"/>
      <c r="L118" s="18"/>
    </row>
    <row r="119" spans="6:12">
      <c r="F119" s="75" t="s">
        <v>60</v>
      </c>
      <c r="G119" s="75"/>
      <c r="H119" s="76"/>
      <c r="I119" s="76">
        <f>I95</f>
        <v>0.13250000000000001</v>
      </c>
      <c r="J119" s="18"/>
      <c r="L119" s="18"/>
    </row>
    <row r="120" spans="6:12">
      <c r="F120" s="381" t="s">
        <v>61</v>
      </c>
      <c r="G120" s="382"/>
      <c r="H120" s="383"/>
      <c r="I120" s="76">
        <f>(1+I117)*(1+I118)/(1-I119)-1</f>
        <v>0.29280115273775253</v>
      </c>
      <c r="J120" s="18"/>
      <c r="L120" s="18"/>
    </row>
  </sheetData>
  <mergeCells count="126"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</mergeCells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8" customWidth="1"/>
    <col min="2" max="2" width="4.5703125" style="18" customWidth="1"/>
    <col min="3" max="3" width="9" style="18" customWidth="1"/>
    <col min="4" max="4" width="25" style="18" customWidth="1"/>
    <col min="5" max="5" width="4.7109375" style="18" bestFit="1" customWidth="1"/>
    <col min="6" max="6" width="9" style="18" bestFit="1" customWidth="1"/>
    <col min="7" max="7" width="10.42578125" style="18" customWidth="1"/>
    <col min="8" max="8" width="10.7109375" style="18" customWidth="1"/>
    <col min="9" max="9" width="16.7109375" style="50" customWidth="1"/>
    <col min="10" max="10" width="9" style="51" bestFit="1" customWidth="1"/>
    <col min="11" max="11" width="9.140625" style="18" bestFit="1" customWidth="1"/>
    <col min="12" max="12" width="12.7109375" style="35" bestFit="1" customWidth="1"/>
    <col min="13" max="13" width="13.28515625" style="18" bestFit="1" customWidth="1"/>
    <col min="14" max="16384" width="11.85546875" style="18"/>
  </cols>
  <sheetData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9" customFormat="1">
      <c r="B3" s="456" t="e">
        <f>#REF!</f>
        <v>#REF!</v>
      </c>
      <c r="C3" s="457"/>
      <c r="D3" s="457"/>
      <c r="E3" s="457"/>
      <c r="F3" s="457"/>
      <c r="G3" s="457"/>
      <c r="H3" s="457"/>
      <c r="I3" s="457"/>
      <c r="J3" s="457"/>
      <c r="K3" s="457"/>
      <c r="L3" s="458"/>
    </row>
    <row r="4" spans="2:13" s="19" customFormat="1">
      <c r="B4" s="459"/>
      <c r="C4" s="460"/>
      <c r="D4" s="460"/>
      <c r="E4" s="460"/>
      <c r="F4" s="460"/>
      <c r="G4" s="460"/>
      <c r="H4" s="460"/>
      <c r="I4" s="460"/>
      <c r="J4" s="460"/>
      <c r="K4" s="460"/>
      <c r="L4" s="461"/>
    </row>
    <row r="5" spans="2:13">
      <c r="B5" s="20"/>
      <c r="C5" s="21"/>
      <c r="D5" s="21"/>
      <c r="E5" s="21"/>
      <c r="F5" s="21"/>
      <c r="G5" s="21"/>
      <c r="H5" s="21"/>
      <c r="I5" s="22"/>
      <c r="J5" s="21"/>
      <c r="K5" s="23"/>
      <c r="L5" s="24" t="s">
        <v>62</v>
      </c>
    </row>
    <row r="6" spans="2:13">
      <c r="B6" s="409" t="s">
        <v>12</v>
      </c>
      <c r="C6" s="409"/>
      <c r="D6" s="409"/>
      <c r="E6" s="409"/>
      <c r="F6" s="409"/>
      <c r="G6" s="409"/>
      <c r="H6" s="409"/>
      <c r="I6" s="409"/>
      <c r="J6" s="409"/>
      <c r="K6" s="409"/>
      <c r="L6" s="409"/>
    </row>
    <row r="7" spans="2:13">
      <c r="B7" s="25" t="s">
        <v>13</v>
      </c>
      <c r="C7" s="384" t="s">
        <v>14</v>
      </c>
      <c r="D7" s="384"/>
      <c r="E7" s="384"/>
      <c r="F7" s="384"/>
      <c r="G7" s="384"/>
      <c r="H7" s="384"/>
      <c r="I7" s="384"/>
      <c r="J7" s="384"/>
      <c r="K7" s="384"/>
      <c r="L7" s="26">
        <f>'Benef. e Insumos'!E10</f>
        <v>1547.12</v>
      </c>
    </row>
    <row r="8" spans="2:13">
      <c r="B8" s="99" t="s">
        <v>166</v>
      </c>
      <c r="C8" s="384" t="s">
        <v>167</v>
      </c>
      <c r="D8" s="384"/>
      <c r="E8" s="384"/>
      <c r="F8" s="384"/>
      <c r="G8" s="384"/>
      <c r="H8" s="384"/>
      <c r="I8" s="384"/>
      <c r="J8" s="384"/>
      <c r="K8" s="384"/>
      <c r="L8" s="26"/>
    </row>
    <row r="9" spans="2:13">
      <c r="B9" s="25" t="s">
        <v>15</v>
      </c>
      <c r="C9" s="384" t="s">
        <v>16</v>
      </c>
      <c r="D9" s="384"/>
      <c r="E9" s="384"/>
      <c r="F9" s="349" t="s">
        <v>17</v>
      </c>
      <c r="G9" s="349"/>
      <c r="H9" s="349"/>
      <c r="I9" s="349"/>
      <c r="J9" s="27" t="s">
        <v>18</v>
      </c>
      <c r="K9" s="28">
        <v>0</v>
      </c>
      <c r="L9" s="29">
        <v>0</v>
      </c>
      <c r="M9" s="30"/>
    </row>
    <row r="10" spans="2:13">
      <c r="B10" s="110" t="s">
        <v>19</v>
      </c>
      <c r="C10" s="367" t="s">
        <v>172</v>
      </c>
      <c r="D10" s="368"/>
      <c r="E10" s="368"/>
      <c r="F10" s="368"/>
      <c r="G10" s="368"/>
      <c r="H10" s="368"/>
      <c r="I10" s="369"/>
      <c r="J10" s="27" t="s">
        <v>18</v>
      </c>
      <c r="K10" s="28">
        <v>0</v>
      </c>
      <c r="L10" s="29">
        <v>0</v>
      </c>
      <c r="M10" s="30"/>
    </row>
    <row r="11" spans="2:13">
      <c r="B11" s="110" t="s">
        <v>21</v>
      </c>
      <c r="C11" s="367" t="s">
        <v>169</v>
      </c>
      <c r="D11" s="368"/>
      <c r="E11" s="368"/>
      <c r="F11" s="368"/>
      <c r="G11" s="368"/>
      <c r="H11" s="368"/>
      <c r="I11" s="369"/>
      <c r="J11" s="27" t="s">
        <v>18</v>
      </c>
      <c r="K11" s="28">
        <v>0</v>
      </c>
      <c r="L11" s="29">
        <v>0</v>
      </c>
      <c r="M11" s="30"/>
    </row>
    <row r="12" spans="2:13">
      <c r="B12" s="110" t="s">
        <v>23</v>
      </c>
      <c r="C12" s="367" t="s">
        <v>170</v>
      </c>
      <c r="D12" s="368"/>
      <c r="E12" s="368"/>
      <c r="F12" s="368"/>
      <c r="G12" s="368"/>
      <c r="H12" s="368"/>
      <c r="I12" s="369"/>
      <c r="J12" s="27" t="s">
        <v>18</v>
      </c>
      <c r="K12" s="28">
        <v>0</v>
      </c>
      <c r="L12" s="29">
        <v>0</v>
      </c>
      <c r="M12" s="30"/>
    </row>
    <row r="13" spans="2:13">
      <c r="B13" s="110" t="s">
        <v>6</v>
      </c>
      <c r="C13" s="367" t="s">
        <v>171</v>
      </c>
      <c r="D13" s="368"/>
      <c r="E13" s="368"/>
      <c r="F13" s="368"/>
      <c r="G13" s="368"/>
      <c r="H13" s="368"/>
      <c r="I13" s="369"/>
      <c r="J13" s="27" t="s">
        <v>18</v>
      </c>
      <c r="K13" s="28">
        <v>0</v>
      </c>
      <c r="L13" s="29">
        <v>0</v>
      </c>
      <c r="M13" s="30"/>
    </row>
    <row r="14" spans="2:13">
      <c r="B14" s="110" t="s">
        <v>24</v>
      </c>
      <c r="C14" s="399" t="s">
        <v>20</v>
      </c>
      <c r="D14" s="399"/>
      <c r="E14" s="399"/>
      <c r="F14" s="399"/>
      <c r="G14" s="399"/>
      <c r="H14" s="399"/>
      <c r="I14" s="399"/>
      <c r="J14" s="27" t="s">
        <v>18</v>
      </c>
      <c r="K14" s="31">
        <v>0</v>
      </c>
      <c r="L14" s="29">
        <v>0</v>
      </c>
      <c r="M14" s="30"/>
    </row>
    <row r="15" spans="2:13">
      <c r="B15" s="110" t="s">
        <v>25</v>
      </c>
      <c r="C15" s="416" t="s">
        <v>22</v>
      </c>
      <c r="D15" s="416"/>
      <c r="E15" s="416"/>
      <c r="F15" s="416"/>
      <c r="G15" s="416"/>
      <c r="H15" s="416"/>
      <c r="I15" s="416"/>
      <c r="J15" s="416"/>
      <c r="K15" s="416"/>
      <c r="L15" s="29">
        <v>0</v>
      </c>
      <c r="M15" s="30"/>
    </row>
    <row r="16" spans="2:13">
      <c r="B16" s="110" t="s">
        <v>168</v>
      </c>
      <c r="C16" s="453" t="s">
        <v>3</v>
      </c>
      <c r="D16" s="453"/>
      <c r="E16" s="453"/>
      <c r="F16" s="453"/>
      <c r="G16" s="453"/>
      <c r="H16" s="453"/>
      <c r="I16" s="453"/>
      <c r="J16" s="453"/>
      <c r="K16" s="453"/>
      <c r="L16" s="29"/>
      <c r="M16" s="30"/>
    </row>
    <row r="17" spans="2:13">
      <c r="B17" s="417" t="s">
        <v>220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120">
        <f>SUM(L7:L16)</f>
        <v>1547.12</v>
      </c>
      <c r="M17" s="32"/>
    </row>
    <row r="18" spans="2:13">
      <c r="B18" s="33"/>
      <c r="C18" s="33"/>
      <c r="D18" s="33"/>
      <c r="E18" s="33"/>
      <c r="F18" s="33"/>
      <c r="G18" s="33"/>
      <c r="H18" s="33"/>
      <c r="I18" s="34"/>
      <c r="J18" s="33"/>
      <c r="K18" s="33"/>
    </row>
    <row r="19" spans="2:13">
      <c r="B19" s="409" t="s">
        <v>173</v>
      </c>
      <c r="C19" s="409"/>
      <c r="D19" s="409"/>
      <c r="E19" s="409"/>
      <c r="F19" s="409"/>
      <c r="G19" s="409"/>
      <c r="H19" s="409"/>
      <c r="I19" s="409"/>
      <c r="J19" s="409"/>
      <c r="K19" s="409"/>
      <c r="L19" s="24" t="str">
        <f>L5</f>
        <v>SERVENTE</v>
      </c>
    </row>
    <row r="20" spans="2:13">
      <c r="B20" s="407" t="s">
        <v>174</v>
      </c>
      <c r="C20" s="408"/>
      <c r="D20" s="408"/>
      <c r="E20" s="408"/>
      <c r="F20" s="408"/>
      <c r="G20" s="408"/>
      <c r="H20" s="408"/>
      <c r="I20" s="408"/>
      <c r="J20" s="408"/>
      <c r="K20" s="112" t="s">
        <v>18</v>
      </c>
      <c r="L20" s="29" t="s">
        <v>178</v>
      </c>
    </row>
    <row r="21" spans="2:13">
      <c r="B21" s="110" t="s">
        <v>13</v>
      </c>
      <c r="C21" s="367" t="s">
        <v>175</v>
      </c>
      <c r="D21" s="368"/>
      <c r="E21" s="368"/>
      <c r="F21" s="368"/>
      <c r="G21" s="368"/>
      <c r="H21" s="368"/>
      <c r="I21" s="368"/>
      <c r="J21" s="369"/>
      <c r="K21" s="52">
        <v>8.3299999999999999E-2</v>
      </c>
      <c r="L21" s="29">
        <f>K21*L17</f>
        <v>128.87509599999998</v>
      </c>
    </row>
    <row r="22" spans="2:13">
      <c r="B22" s="110" t="s">
        <v>15</v>
      </c>
      <c r="C22" s="367" t="s">
        <v>176</v>
      </c>
      <c r="D22" s="368"/>
      <c r="E22" s="368"/>
      <c r="F22" s="368"/>
      <c r="G22" s="368"/>
      <c r="H22" s="368"/>
      <c r="I22" s="368"/>
      <c r="J22" s="369"/>
      <c r="K22" s="52">
        <v>2.7799999999999998E-2</v>
      </c>
      <c r="L22" s="29">
        <f>K22*L17</f>
        <v>43.009935999999996</v>
      </c>
    </row>
    <row r="23" spans="2:13">
      <c r="B23" s="449" t="s">
        <v>177</v>
      </c>
      <c r="C23" s="348"/>
      <c r="D23" s="348"/>
      <c r="E23" s="348"/>
      <c r="F23" s="348"/>
      <c r="G23" s="348"/>
      <c r="H23" s="348"/>
      <c r="I23" s="348"/>
      <c r="J23" s="450"/>
      <c r="K23" s="52">
        <f>SUM(K21:K22)</f>
        <v>0.1111</v>
      </c>
      <c r="L23" s="29">
        <f>SUM(L21:L22)</f>
        <v>171.88503199999997</v>
      </c>
    </row>
    <row r="24" spans="2:13">
      <c r="B24" s="113"/>
      <c r="C24" s="114"/>
      <c r="D24" s="114"/>
      <c r="E24" s="114"/>
      <c r="F24" s="114"/>
      <c r="G24" s="114"/>
      <c r="H24" s="114"/>
      <c r="I24" s="114"/>
      <c r="J24" s="115"/>
      <c r="K24" s="52"/>
      <c r="L24" s="29"/>
    </row>
    <row r="25" spans="2:13">
      <c r="B25" s="407" t="s">
        <v>179</v>
      </c>
      <c r="C25" s="408"/>
      <c r="D25" s="408"/>
      <c r="E25" s="408"/>
      <c r="F25" s="408"/>
      <c r="G25" s="408"/>
      <c r="H25" s="408"/>
      <c r="I25" s="408"/>
      <c r="J25" s="408"/>
      <c r="K25" s="112" t="s">
        <v>18</v>
      </c>
      <c r="L25" s="29" t="s">
        <v>178</v>
      </c>
    </row>
    <row r="26" spans="2:13">
      <c r="B26" s="92" t="s">
        <v>13</v>
      </c>
      <c r="C26" s="349" t="s">
        <v>26</v>
      </c>
      <c r="D26" s="349"/>
      <c r="E26" s="349"/>
      <c r="F26" s="349"/>
      <c r="G26" s="349"/>
      <c r="H26" s="349"/>
      <c r="I26" s="349"/>
      <c r="J26" s="349"/>
      <c r="K26" s="44">
        <v>0.2</v>
      </c>
      <c r="L26" s="45">
        <f>ROUND($K$26*L17,2)</f>
        <v>309.42</v>
      </c>
    </row>
    <row r="27" spans="2:13">
      <c r="B27" s="92" t="s">
        <v>15</v>
      </c>
      <c r="C27" s="349" t="s">
        <v>27</v>
      </c>
      <c r="D27" s="349"/>
      <c r="E27" s="349"/>
      <c r="F27" s="349"/>
      <c r="G27" s="349"/>
      <c r="H27" s="349"/>
      <c r="I27" s="349"/>
      <c r="J27" s="349"/>
      <c r="K27" s="44">
        <v>1.4999999999999999E-2</v>
      </c>
      <c r="L27" s="45">
        <f>ROUND($K$27*L17,2)</f>
        <v>23.21</v>
      </c>
    </row>
    <row r="28" spans="2:13">
      <c r="B28" s="92" t="s">
        <v>19</v>
      </c>
      <c r="C28" s="349" t="s">
        <v>28</v>
      </c>
      <c r="D28" s="349"/>
      <c r="E28" s="349"/>
      <c r="F28" s="349"/>
      <c r="G28" s="349"/>
      <c r="H28" s="349"/>
      <c r="I28" s="349"/>
      <c r="J28" s="349"/>
      <c r="K28" s="44">
        <v>0.01</v>
      </c>
      <c r="L28" s="45">
        <f>ROUND(K28*$L$17,2)</f>
        <v>15.47</v>
      </c>
    </row>
    <row r="29" spans="2:13">
      <c r="B29" s="92" t="s">
        <v>21</v>
      </c>
      <c r="C29" s="349" t="s">
        <v>29</v>
      </c>
      <c r="D29" s="349"/>
      <c r="E29" s="349"/>
      <c r="F29" s="349"/>
      <c r="G29" s="349"/>
      <c r="H29" s="349"/>
      <c r="I29" s="349"/>
      <c r="J29" s="349"/>
      <c r="K29" s="44">
        <v>2E-3</v>
      </c>
      <c r="L29" s="45">
        <f>ROUND(K29*$L$17,2)</f>
        <v>3.09</v>
      </c>
    </row>
    <row r="30" spans="2:13">
      <c r="B30" s="92" t="s">
        <v>23</v>
      </c>
      <c r="C30" s="349" t="s">
        <v>30</v>
      </c>
      <c r="D30" s="349"/>
      <c r="E30" s="349"/>
      <c r="F30" s="349"/>
      <c r="G30" s="349"/>
      <c r="H30" s="349"/>
      <c r="I30" s="349"/>
      <c r="J30" s="349"/>
      <c r="K30" s="44">
        <v>2.5000000000000001E-2</v>
      </c>
      <c r="L30" s="45">
        <f>ROUND(K30*$L$17,2)</f>
        <v>38.68</v>
      </c>
      <c r="M30" s="46"/>
    </row>
    <row r="31" spans="2:13">
      <c r="B31" s="92" t="s">
        <v>6</v>
      </c>
      <c r="C31" s="367" t="s">
        <v>165</v>
      </c>
      <c r="D31" s="369"/>
      <c r="E31" s="454">
        <v>0.08</v>
      </c>
      <c r="F31" s="455"/>
      <c r="G31" s="367" t="s">
        <v>164</v>
      </c>
      <c r="H31" s="368"/>
      <c r="I31" s="368"/>
      <c r="J31" s="369"/>
      <c r="K31" s="44">
        <f>E31*(1+(1/12)+(1/12/3))</f>
        <v>8.8888888888888878E-2</v>
      </c>
      <c r="L31" s="45">
        <f>ROUND(K31*($L$17+(1/3/12*L17)+(1/12*L17)),2)</f>
        <v>152.80000000000001</v>
      </c>
      <c r="M31" s="18" t="s">
        <v>180</v>
      </c>
    </row>
    <row r="32" spans="2:13">
      <c r="B32" s="92" t="s">
        <v>24</v>
      </c>
      <c r="C32" s="349" t="s">
        <v>31</v>
      </c>
      <c r="D32" s="349"/>
      <c r="E32" s="349"/>
      <c r="F32" s="349"/>
      <c r="G32" s="91" t="s">
        <v>32</v>
      </c>
      <c r="H32" s="48">
        <v>0.03</v>
      </c>
      <c r="I32" s="91" t="s">
        <v>33</v>
      </c>
      <c r="J32" s="81">
        <v>1</v>
      </c>
      <c r="K32" s="49">
        <f>H32*J32</f>
        <v>0.03</v>
      </c>
      <c r="L32" s="45">
        <f>ROUND(K32*$L$17,2)</f>
        <v>46.41</v>
      </c>
    </row>
    <row r="33" spans="2:20">
      <c r="B33" s="92" t="s">
        <v>25</v>
      </c>
      <c r="C33" s="349" t="s">
        <v>34</v>
      </c>
      <c r="D33" s="349"/>
      <c r="E33" s="349"/>
      <c r="F33" s="349"/>
      <c r="G33" s="349"/>
      <c r="H33" s="349"/>
      <c r="I33" s="349"/>
      <c r="J33" s="349"/>
      <c r="K33" s="44">
        <v>6.0000000000000001E-3</v>
      </c>
      <c r="L33" s="45">
        <f>ROUND(K33*$L$17,2)</f>
        <v>9.2799999999999994</v>
      </c>
      <c r="M33" s="19"/>
      <c r="N33" s="19"/>
      <c r="O33" s="19"/>
      <c r="P33" s="19"/>
      <c r="Q33" s="19"/>
      <c r="R33" s="19"/>
      <c r="S33" s="19"/>
      <c r="T33" s="19"/>
    </row>
    <row r="34" spans="2:20">
      <c r="B34" s="449" t="s">
        <v>181</v>
      </c>
      <c r="C34" s="348"/>
      <c r="D34" s="348"/>
      <c r="E34" s="348"/>
      <c r="F34" s="348"/>
      <c r="G34" s="348"/>
      <c r="H34" s="348"/>
      <c r="I34" s="348"/>
      <c r="J34" s="450"/>
      <c r="K34" s="52">
        <f>SUM(K26:K33)</f>
        <v>0.37688888888888894</v>
      </c>
      <c r="L34" s="29">
        <f>SUM(L26:L33)</f>
        <v>598.36</v>
      </c>
      <c r="M34" s="19"/>
      <c r="N34" s="19"/>
      <c r="O34" s="19"/>
      <c r="P34" s="19"/>
      <c r="Q34" s="19"/>
      <c r="R34" s="19"/>
      <c r="S34" s="19"/>
      <c r="T34" s="19"/>
    </row>
    <row r="35" spans="2:20">
      <c r="B35" s="113"/>
      <c r="C35" s="114"/>
      <c r="D35" s="114"/>
      <c r="E35" s="114"/>
      <c r="F35" s="114"/>
      <c r="G35" s="114"/>
      <c r="H35" s="114"/>
      <c r="I35" s="114"/>
      <c r="J35" s="115"/>
      <c r="K35" s="52"/>
      <c r="L35" s="29"/>
      <c r="M35" s="19"/>
      <c r="N35" s="19"/>
      <c r="O35" s="19"/>
      <c r="P35" s="19"/>
      <c r="Q35" s="19"/>
      <c r="R35" s="19"/>
      <c r="S35" s="19"/>
      <c r="T35" s="19"/>
    </row>
    <row r="36" spans="2:20">
      <c r="B36" s="407" t="s">
        <v>182</v>
      </c>
      <c r="C36" s="408"/>
      <c r="D36" s="408"/>
      <c r="E36" s="408"/>
      <c r="F36" s="408"/>
      <c r="G36" s="408"/>
      <c r="H36" s="408"/>
      <c r="I36" s="408"/>
      <c r="J36" s="408"/>
      <c r="K36" s="112"/>
      <c r="L36" s="29" t="s">
        <v>178</v>
      </c>
    </row>
    <row r="37" spans="2:20">
      <c r="B37" s="25" t="s">
        <v>13</v>
      </c>
      <c r="C37" s="367" t="str">
        <f>'Benef. e Insumos'!B19</f>
        <v xml:space="preserve">CLÁUSULA SÉTIMA - CESTA BÁSICA </v>
      </c>
      <c r="D37" s="368"/>
      <c r="E37" s="368"/>
      <c r="F37" s="368"/>
      <c r="G37" s="368"/>
      <c r="H37" s="368"/>
      <c r="I37" s="368"/>
      <c r="J37" s="369"/>
      <c r="K37" s="100"/>
      <c r="L37" s="29">
        <f>'Benef. e Insumos'!D21</f>
        <v>0</v>
      </c>
    </row>
    <row r="38" spans="2:20">
      <c r="B38" s="25" t="s">
        <v>15</v>
      </c>
      <c r="C38" s="367" t="str">
        <f>'Benef. e Insumos'!B13</f>
        <v>CLÁUSULA SÉTIMA - TÍQUETE REFEIÇÃO</v>
      </c>
      <c r="D38" s="368"/>
      <c r="E38" s="368"/>
      <c r="F38" s="368"/>
      <c r="G38" s="368"/>
      <c r="H38" s="368"/>
      <c r="I38" s="368"/>
      <c r="J38" s="369"/>
      <c r="K38" s="100"/>
      <c r="L38" s="29">
        <f>'Benef. e Insumos'!H17</f>
        <v>300.12</v>
      </c>
    </row>
    <row r="39" spans="2:20">
      <c r="B39" s="25" t="s">
        <v>19</v>
      </c>
      <c r="C39" s="367" t="e">
        <f>'Benef. e Insumos'!#REF!</f>
        <v>#REF!</v>
      </c>
      <c r="D39" s="368"/>
      <c r="E39" s="368"/>
      <c r="F39" s="368"/>
      <c r="G39" s="368"/>
      <c r="H39" s="368"/>
      <c r="I39" s="368"/>
      <c r="J39" s="369"/>
      <c r="K39" s="100"/>
      <c r="L39" s="29" t="e">
        <f>'Benef. e Insumos'!#REF!</f>
        <v>#REF!</v>
      </c>
    </row>
    <row r="40" spans="2:20">
      <c r="B40" s="99" t="s">
        <v>21</v>
      </c>
      <c r="C40" s="367" t="e">
        <f>'Benef. e Insumos'!#REF!</f>
        <v>#REF!</v>
      </c>
      <c r="D40" s="368"/>
      <c r="E40" s="368"/>
      <c r="F40" s="368"/>
      <c r="G40" s="368"/>
      <c r="H40" s="368"/>
      <c r="I40" s="368"/>
      <c r="J40" s="369"/>
      <c r="K40" s="100"/>
      <c r="L40" s="29" t="e">
        <f>'Benef. e Insumos'!#REF!</f>
        <v>#REF!</v>
      </c>
    </row>
    <row r="41" spans="2:20">
      <c r="B41" s="99" t="s">
        <v>23</v>
      </c>
      <c r="C41" s="367" t="e">
        <f>'Benef. e Insumos'!#REF!</f>
        <v>#REF!</v>
      </c>
      <c r="D41" s="368"/>
      <c r="E41" s="368"/>
      <c r="F41" s="368"/>
      <c r="G41" s="368"/>
      <c r="H41" s="368"/>
      <c r="I41" s="368"/>
      <c r="J41" s="369"/>
      <c r="K41" s="101"/>
      <c r="L41" s="29" t="e">
        <f>'Benef. e Insumos'!#REF!</f>
        <v>#REF!</v>
      </c>
    </row>
    <row r="42" spans="2:20">
      <c r="B42" s="99" t="s">
        <v>6</v>
      </c>
      <c r="C42" s="367" t="e">
        <f>'Benef. e Insumos'!#REF!</f>
        <v>#REF!</v>
      </c>
      <c r="D42" s="368"/>
      <c r="E42" s="368"/>
      <c r="F42" s="368"/>
      <c r="G42" s="368"/>
      <c r="H42" s="368"/>
      <c r="I42" s="368"/>
      <c r="J42" s="369"/>
      <c r="K42" s="102"/>
      <c r="L42" s="29" t="e">
        <f>'Benef. e Insumos'!#REF!</f>
        <v>#REF!</v>
      </c>
    </row>
    <row r="43" spans="2:20">
      <c r="B43" s="99" t="s">
        <v>24</v>
      </c>
      <c r="C43" s="367" t="str">
        <f>'Benef. e Insumos'!B27</f>
        <v xml:space="preserve"> AUXÍLIO TRANSPORTE</v>
      </c>
      <c r="D43" s="368"/>
      <c r="E43" s="368"/>
      <c r="F43" s="368"/>
      <c r="G43" s="368"/>
      <c r="H43" s="368"/>
      <c r="I43" s="368"/>
      <c r="J43" s="369"/>
      <c r="K43" s="102"/>
      <c r="L43" s="29">
        <f>'Benef. e Insumos'!G29</f>
        <v>21.172800000000009</v>
      </c>
    </row>
    <row r="44" spans="2:20">
      <c r="B44" s="99" t="s">
        <v>25</v>
      </c>
      <c r="C44" s="453" t="s">
        <v>3</v>
      </c>
      <c r="D44" s="453"/>
      <c r="E44" s="453"/>
      <c r="F44" s="453"/>
      <c r="G44" s="453"/>
      <c r="H44" s="453"/>
      <c r="I44" s="453"/>
      <c r="J44" s="453"/>
      <c r="K44" s="453"/>
      <c r="L44" s="36">
        <v>0</v>
      </c>
    </row>
    <row r="45" spans="2:20">
      <c r="B45" s="449" t="s">
        <v>184</v>
      </c>
      <c r="C45" s="348"/>
      <c r="D45" s="348"/>
      <c r="E45" s="348"/>
      <c r="F45" s="348"/>
      <c r="G45" s="348"/>
      <c r="H45" s="348"/>
      <c r="I45" s="348"/>
      <c r="J45" s="450"/>
      <c r="K45" s="52"/>
      <c r="L45" s="29" t="e">
        <f>SUM(L37:L44)</f>
        <v>#REF!</v>
      </c>
    </row>
    <row r="46" spans="2:20">
      <c r="B46" s="113"/>
      <c r="C46" s="114"/>
      <c r="D46" s="114"/>
      <c r="E46" s="114"/>
      <c r="F46" s="114"/>
      <c r="G46" s="114"/>
      <c r="H46" s="114"/>
      <c r="I46" s="114"/>
      <c r="J46" s="115"/>
      <c r="K46" s="52"/>
      <c r="L46" s="29"/>
    </row>
    <row r="47" spans="2:20">
      <c r="B47" s="393" t="s">
        <v>185</v>
      </c>
      <c r="C47" s="393"/>
      <c r="D47" s="393"/>
      <c r="E47" s="393"/>
      <c r="F47" s="393"/>
      <c r="G47" s="393"/>
      <c r="H47" s="393"/>
      <c r="I47" s="393"/>
      <c r="J47" s="393"/>
      <c r="K47" s="393"/>
      <c r="L47" s="24" t="str">
        <f>L5</f>
        <v>SERVENTE</v>
      </c>
    </row>
    <row r="48" spans="2:20">
      <c r="B48" s="110" t="s">
        <v>186</v>
      </c>
      <c r="C48" s="367" t="s">
        <v>189</v>
      </c>
      <c r="D48" s="368"/>
      <c r="E48" s="368"/>
      <c r="F48" s="368"/>
      <c r="G48" s="368"/>
      <c r="H48" s="368"/>
      <c r="I48" s="368"/>
      <c r="J48" s="369"/>
      <c r="K48" s="100"/>
      <c r="L48" s="29">
        <f>L23</f>
        <v>171.88503199999997</v>
      </c>
    </row>
    <row r="49" spans="2:12">
      <c r="B49" s="110" t="s">
        <v>187</v>
      </c>
      <c r="C49" s="367" t="s">
        <v>190</v>
      </c>
      <c r="D49" s="368"/>
      <c r="E49" s="368"/>
      <c r="F49" s="368"/>
      <c r="G49" s="368"/>
      <c r="H49" s="368"/>
      <c r="I49" s="368"/>
      <c r="J49" s="369"/>
      <c r="K49" s="100"/>
      <c r="L49" s="29">
        <f>L34</f>
        <v>598.36</v>
      </c>
    </row>
    <row r="50" spans="2:12">
      <c r="B50" s="110" t="s">
        <v>188</v>
      </c>
      <c r="C50" s="367" t="s">
        <v>192</v>
      </c>
      <c r="D50" s="368"/>
      <c r="E50" s="368"/>
      <c r="F50" s="368"/>
      <c r="G50" s="368"/>
      <c r="H50" s="368"/>
      <c r="I50" s="368"/>
      <c r="J50" s="369"/>
      <c r="K50" s="100"/>
      <c r="L50" s="29" t="e">
        <f>L45</f>
        <v>#REF!</v>
      </c>
    </row>
    <row r="51" spans="2:12">
      <c r="B51" s="355" t="s">
        <v>191</v>
      </c>
      <c r="C51" s="356"/>
      <c r="D51" s="356"/>
      <c r="E51" s="356"/>
      <c r="F51" s="356"/>
      <c r="G51" s="356"/>
      <c r="H51" s="356"/>
      <c r="I51" s="356"/>
      <c r="J51" s="357"/>
      <c r="K51" s="121"/>
      <c r="L51" s="122" t="e">
        <f>SUM(L48:L50)</f>
        <v>#REF!</v>
      </c>
    </row>
    <row r="52" spans="2:12">
      <c r="B52" s="350"/>
      <c r="C52" s="351"/>
      <c r="D52" s="351"/>
      <c r="E52" s="351"/>
      <c r="F52" s="351"/>
      <c r="G52" s="351"/>
      <c r="H52" s="351"/>
      <c r="I52" s="351"/>
      <c r="J52" s="351"/>
      <c r="K52" s="351"/>
      <c r="L52" s="351"/>
    </row>
    <row r="53" spans="2:12">
      <c r="B53" s="409" t="s">
        <v>183</v>
      </c>
      <c r="C53" s="409"/>
      <c r="D53" s="409"/>
      <c r="E53" s="409"/>
      <c r="F53" s="409"/>
      <c r="G53" s="409"/>
      <c r="H53" s="409"/>
      <c r="I53" s="409"/>
      <c r="J53" s="409"/>
      <c r="K53" s="117" t="s">
        <v>18</v>
      </c>
      <c r="L53" s="118" t="s">
        <v>178</v>
      </c>
    </row>
    <row r="54" spans="2:12">
      <c r="B54" s="25" t="s">
        <v>13</v>
      </c>
      <c r="C54" s="349" t="s">
        <v>35</v>
      </c>
      <c r="D54" s="349"/>
      <c r="E54" s="349"/>
      <c r="F54" s="349"/>
      <c r="G54" s="349"/>
      <c r="H54" s="349"/>
      <c r="I54" s="56">
        <v>30</v>
      </c>
      <c r="J54" s="57">
        <v>0.05</v>
      </c>
      <c r="K54" s="52">
        <f>I54/30/12*J54</f>
        <v>4.1666666666666666E-3</v>
      </c>
      <c r="L54" s="29">
        <f t="shared" ref="L54:L59" si="0">ROUND(K54*$L$17,2)</f>
        <v>6.45</v>
      </c>
    </row>
    <row r="55" spans="2:12">
      <c r="B55" s="25" t="s">
        <v>15</v>
      </c>
      <c r="C55" s="349" t="s">
        <v>36</v>
      </c>
      <c r="D55" s="349"/>
      <c r="E55" s="349"/>
      <c r="F55" s="349"/>
      <c r="G55" s="349"/>
      <c r="H55" s="349"/>
      <c r="I55" s="349"/>
      <c r="J55" s="349"/>
      <c r="K55" s="52">
        <f>K31*K54</f>
        <v>3.703703703703703E-4</v>
      </c>
      <c r="L55" s="29">
        <f t="shared" si="0"/>
        <v>0.56999999999999995</v>
      </c>
    </row>
    <row r="56" spans="2:12">
      <c r="B56" s="110" t="s">
        <v>19</v>
      </c>
      <c r="C56" s="349" t="s">
        <v>194</v>
      </c>
      <c r="D56" s="349"/>
      <c r="E56" s="349"/>
      <c r="F56" s="349"/>
      <c r="G56" s="349"/>
      <c r="H56" s="349"/>
      <c r="I56" s="349"/>
      <c r="J56" s="349"/>
      <c r="K56" s="52">
        <f>0.5*K55</f>
        <v>1.8518518518518515E-4</v>
      </c>
      <c r="L56" s="29">
        <f t="shared" si="0"/>
        <v>0.28999999999999998</v>
      </c>
    </row>
    <row r="57" spans="2:12">
      <c r="B57" s="110" t="s">
        <v>21</v>
      </c>
      <c r="C57" s="349" t="s">
        <v>196</v>
      </c>
      <c r="D57" s="349"/>
      <c r="E57" s="349"/>
      <c r="F57" s="349"/>
      <c r="G57" s="349"/>
      <c r="H57" s="349"/>
      <c r="I57" s="349"/>
      <c r="J57" s="349"/>
      <c r="K57" s="52">
        <v>4.0000000000000002E-4</v>
      </c>
      <c r="L57" s="29">
        <f t="shared" si="0"/>
        <v>0.62</v>
      </c>
    </row>
    <row r="58" spans="2:12">
      <c r="B58" s="110" t="s">
        <v>23</v>
      </c>
      <c r="C58" s="349" t="s">
        <v>195</v>
      </c>
      <c r="D58" s="349"/>
      <c r="E58" s="349"/>
      <c r="F58" s="349"/>
      <c r="G58" s="349"/>
      <c r="H58" s="349"/>
      <c r="I58" s="349"/>
      <c r="J58" s="349"/>
      <c r="K58" s="52">
        <f>K34*K57</f>
        <v>1.5075555555555558E-4</v>
      </c>
      <c r="L58" s="29">
        <f t="shared" si="0"/>
        <v>0.23</v>
      </c>
    </row>
    <row r="59" spans="2:12">
      <c r="B59" s="110" t="s">
        <v>6</v>
      </c>
      <c r="C59" s="349" t="s">
        <v>197</v>
      </c>
      <c r="D59" s="349"/>
      <c r="E59" s="349"/>
      <c r="F59" s="349"/>
      <c r="G59" s="349"/>
      <c r="H59" s="349"/>
      <c r="I59" s="349"/>
      <c r="J59" s="349"/>
      <c r="K59" s="116">
        <f>0.5*0.08*K57</f>
        <v>1.6000000000000003E-5</v>
      </c>
      <c r="L59" s="29">
        <f t="shared" si="0"/>
        <v>0.02</v>
      </c>
    </row>
    <row r="60" spans="2:12" ht="15" customHeight="1">
      <c r="B60" s="355" t="s">
        <v>193</v>
      </c>
      <c r="C60" s="356"/>
      <c r="D60" s="356"/>
      <c r="E60" s="356"/>
      <c r="F60" s="356"/>
      <c r="G60" s="356"/>
      <c r="H60" s="356"/>
      <c r="I60" s="356"/>
      <c r="J60" s="357"/>
      <c r="K60" s="121"/>
      <c r="L60" s="122">
        <f>SUM(L54:L59)</f>
        <v>8.18</v>
      </c>
    </row>
    <row r="61" spans="2:12">
      <c r="B61" s="37"/>
      <c r="C61" s="33"/>
      <c r="D61" s="33"/>
      <c r="E61" s="37"/>
      <c r="F61" s="37"/>
      <c r="G61" s="37"/>
      <c r="H61" s="37"/>
      <c r="I61" s="38"/>
      <c r="J61" s="39"/>
      <c r="K61" s="37"/>
    </row>
    <row r="62" spans="2:12">
      <c r="B62" s="409" t="s">
        <v>198</v>
      </c>
      <c r="C62" s="409"/>
      <c r="D62" s="409"/>
      <c r="E62" s="409"/>
      <c r="F62" s="409"/>
      <c r="G62" s="409"/>
      <c r="H62" s="409"/>
      <c r="I62" s="409"/>
      <c r="J62" s="409"/>
      <c r="K62" s="117"/>
      <c r="L62" s="118"/>
    </row>
    <row r="63" spans="2:12">
      <c r="B63" s="407" t="s">
        <v>203</v>
      </c>
      <c r="C63" s="408"/>
      <c r="D63" s="408"/>
      <c r="E63" s="408"/>
      <c r="F63" s="408"/>
      <c r="G63" s="408"/>
      <c r="H63" s="408"/>
      <c r="I63" s="408"/>
      <c r="J63" s="408"/>
      <c r="K63" s="112" t="s">
        <v>18</v>
      </c>
      <c r="L63" s="29" t="s">
        <v>178</v>
      </c>
    </row>
    <row r="64" spans="2:12">
      <c r="B64" s="25" t="s">
        <v>13</v>
      </c>
      <c r="C64" s="384" t="s">
        <v>199</v>
      </c>
      <c r="D64" s="384"/>
      <c r="E64" s="384"/>
      <c r="F64" s="384"/>
      <c r="G64" s="384"/>
      <c r="H64" s="384"/>
      <c r="I64" s="384"/>
      <c r="J64" s="384"/>
      <c r="K64" s="59">
        <f>1/12</f>
        <v>8.3333333333333329E-2</v>
      </c>
      <c r="L64" s="29">
        <f>K64*$L$17</f>
        <v>128.92666666666665</v>
      </c>
    </row>
    <row r="65" spans="2:13">
      <c r="B65" s="25" t="s">
        <v>15</v>
      </c>
      <c r="C65" s="349" t="s">
        <v>200</v>
      </c>
      <c r="D65" s="349"/>
      <c r="E65" s="349"/>
      <c r="F65" s="349"/>
      <c r="G65" s="451" t="s">
        <v>38</v>
      </c>
      <c r="H65" s="451"/>
      <c r="I65" s="451"/>
      <c r="J65" s="60">
        <v>3</v>
      </c>
      <c r="K65" s="59">
        <f>J65/30/12</f>
        <v>8.3333333333333332E-3</v>
      </c>
      <c r="L65" s="29">
        <f>K65*$L$17</f>
        <v>12.892666666666665</v>
      </c>
      <c r="M65" s="18" t="s">
        <v>180</v>
      </c>
    </row>
    <row r="66" spans="2:13">
      <c r="B66" s="25" t="s">
        <v>19</v>
      </c>
      <c r="C66" s="349" t="s">
        <v>39</v>
      </c>
      <c r="D66" s="349"/>
      <c r="E66" s="349"/>
      <c r="F66" s="349"/>
      <c r="G66" s="451" t="s">
        <v>37</v>
      </c>
      <c r="H66" s="451"/>
      <c r="I66" s="54">
        <v>1.4999999999999999E-2</v>
      </c>
      <c r="J66" s="61">
        <v>5</v>
      </c>
      <c r="K66" s="59">
        <f>J66/30/12*I66</f>
        <v>2.0833333333333332E-4</v>
      </c>
      <c r="L66" s="29">
        <f t="shared" ref="L66:L69" si="1">K66*$L$17</f>
        <v>0.32231666666666664</v>
      </c>
    </row>
    <row r="67" spans="2:13">
      <c r="B67" s="25" t="s">
        <v>21</v>
      </c>
      <c r="C67" s="451" t="s">
        <v>201</v>
      </c>
      <c r="D67" s="451"/>
      <c r="E67" s="451"/>
      <c r="F67" s="60"/>
      <c r="G67" s="451" t="s">
        <v>37</v>
      </c>
      <c r="H67" s="451"/>
      <c r="I67" s="54">
        <v>7.7999999999999996E-3</v>
      </c>
      <c r="J67" s="62">
        <v>15</v>
      </c>
      <c r="K67" s="59">
        <f>J67/30/12*I67</f>
        <v>3.2499999999999999E-4</v>
      </c>
      <c r="L67" s="29">
        <f t="shared" si="1"/>
        <v>0.50281399999999998</v>
      </c>
    </row>
    <row r="68" spans="2:13">
      <c r="B68" s="25" t="s">
        <v>23</v>
      </c>
      <c r="C68" s="451" t="s">
        <v>202</v>
      </c>
      <c r="D68" s="451"/>
      <c r="E68" s="451"/>
      <c r="F68" s="60"/>
      <c r="G68" s="452"/>
      <c r="H68" s="451"/>
      <c r="I68" s="54"/>
      <c r="J68" s="62"/>
      <c r="K68" s="59">
        <v>6.1000000000000004E-3</v>
      </c>
      <c r="L68" s="29">
        <f t="shared" si="1"/>
        <v>9.4374319999999994</v>
      </c>
      <c r="M68" s="82" t="s">
        <v>180</v>
      </c>
    </row>
    <row r="69" spans="2:13">
      <c r="B69" s="25" t="s">
        <v>6</v>
      </c>
      <c r="C69" s="453" t="s">
        <v>3</v>
      </c>
      <c r="D69" s="453"/>
      <c r="E69" s="453" t="s">
        <v>40</v>
      </c>
      <c r="F69" s="453"/>
      <c r="G69" s="453"/>
      <c r="H69" s="453"/>
      <c r="I69" s="453"/>
      <c r="J69" s="453"/>
      <c r="K69" s="63"/>
      <c r="L69" s="29">
        <f t="shared" si="1"/>
        <v>0</v>
      </c>
      <c r="M69" s="82"/>
    </row>
    <row r="70" spans="2:13">
      <c r="B70" s="449" t="s">
        <v>204</v>
      </c>
      <c r="C70" s="348"/>
      <c r="D70" s="348"/>
      <c r="E70" s="348"/>
      <c r="F70" s="348"/>
      <c r="G70" s="348"/>
      <c r="H70" s="348"/>
      <c r="I70" s="348"/>
      <c r="J70" s="450"/>
      <c r="K70" s="64"/>
      <c r="L70" s="29">
        <f>SUM(L64:L69)</f>
        <v>152.08189599999997</v>
      </c>
    </row>
    <row r="71" spans="2:13">
      <c r="B71" s="113"/>
      <c r="C71" s="114"/>
      <c r="D71" s="114"/>
      <c r="E71" s="114"/>
      <c r="F71" s="114"/>
      <c r="G71" s="114"/>
      <c r="H71" s="114"/>
      <c r="I71" s="114"/>
      <c r="J71" s="115"/>
      <c r="K71" s="52"/>
      <c r="L71" s="29"/>
    </row>
    <row r="72" spans="2:13">
      <c r="B72" s="407" t="s">
        <v>205</v>
      </c>
      <c r="C72" s="408"/>
      <c r="D72" s="408"/>
      <c r="E72" s="408"/>
      <c r="F72" s="408"/>
      <c r="G72" s="408"/>
      <c r="H72" s="408"/>
      <c r="I72" s="408"/>
      <c r="J72" s="408"/>
      <c r="K72" s="112" t="s">
        <v>18</v>
      </c>
      <c r="L72" s="29" t="s">
        <v>178</v>
      </c>
    </row>
    <row r="73" spans="2:13">
      <c r="B73" s="110" t="s">
        <v>13</v>
      </c>
      <c r="C73" s="384" t="s">
        <v>206</v>
      </c>
      <c r="D73" s="384"/>
      <c r="E73" s="384"/>
      <c r="F73" s="384"/>
      <c r="G73" s="384"/>
      <c r="H73" s="384"/>
      <c r="I73" s="384"/>
      <c r="J73" s="384"/>
      <c r="K73" s="59">
        <v>0</v>
      </c>
      <c r="L73" s="29">
        <f>K73*$L$17</f>
        <v>0</v>
      </c>
    </row>
    <row r="74" spans="2:13">
      <c r="B74" s="449" t="s">
        <v>207</v>
      </c>
      <c r="C74" s="348"/>
      <c r="D74" s="348"/>
      <c r="E74" s="348"/>
      <c r="F74" s="348"/>
      <c r="G74" s="348"/>
      <c r="H74" s="348"/>
      <c r="I74" s="348"/>
      <c r="J74" s="450"/>
      <c r="K74" s="64"/>
      <c r="L74" s="29">
        <f>SUM(L73:L73)</f>
        <v>0</v>
      </c>
    </row>
    <row r="75" spans="2:13">
      <c r="B75" s="113"/>
      <c r="C75" s="114"/>
      <c r="D75" s="114"/>
      <c r="E75" s="114"/>
      <c r="F75" s="114"/>
      <c r="G75" s="114"/>
      <c r="H75" s="114"/>
      <c r="I75" s="114"/>
      <c r="J75" s="114"/>
      <c r="K75" s="119"/>
      <c r="L75" s="29"/>
    </row>
    <row r="76" spans="2:13">
      <c r="B76" s="393" t="s">
        <v>208</v>
      </c>
      <c r="C76" s="393"/>
      <c r="D76" s="393"/>
      <c r="E76" s="393"/>
      <c r="F76" s="393"/>
      <c r="G76" s="393"/>
      <c r="H76" s="393"/>
      <c r="I76" s="393"/>
      <c r="J76" s="393"/>
      <c r="K76" s="393"/>
      <c r="L76" s="24">
        <f>L34</f>
        <v>598.36</v>
      </c>
    </row>
    <row r="77" spans="2:13">
      <c r="B77" s="110" t="s">
        <v>209</v>
      </c>
      <c r="C77" s="367" t="s">
        <v>200</v>
      </c>
      <c r="D77" s="368"/>
      <c r="E77" s="368"/>
      <c r="F77" s="368"/>
      <c r="G77" s="368"/>
      <c r="H77" s="368"/>
      <c r="I77" s="368"/>
      <c r="J77" s="369"/>
      <c r="K77" s="100"/>
      <c r="L77" s="29">
        <f>L70</f>
        <v>152.08189599999997</v>
      </c>
    </row>
    <row r="78" spans="2:13">
      <c r="B78" s="110" t="s">
        <v>210</v>
      </c>
      <c r="C78" s="367" t="s">
        <v>211</v>
      </c>
      <c r="D78" s="368"/>
      <c r="E78" s="368"/>
      <c r="F78" s="368"/>
      <c r="G78" s="368"/>
      <c r="H78" s="368"/>
      <c r="I78" s="368"/>
      <c r="J78" s="369"/>
      <c r="K78" s="100"/>
      <c r="L78" s="29">
        <f>L74</f>
        <v>0</v>
      </c>
    </row>
    <row r="79" spans="2:13">
      <c r="B79" s="355" t="s">
        <v>212</v>
      </c>
      <c r="C79" s="356"/>
      <c r="D79" s="356"/>
      <c r="E79" s="356"/>
      <c r="F79" s="356"/>
      <c r="G79" s="356"/>
      <c r="H79" s="356"/>
      <c r="I79" s="356"/>
      <c r="J79" s="357"/>
      <c r="K79" s="121"/>
      <c r="L79" s="122">
        <f>SUM(L77:L78)</f>
        <v>152.08189599999997</v>
      </c>
    </row>
    <row r="80" spans="2:13">
      <c r="B80" s="350"/>
      <c r="C80" s="351"/>
      <c r="D80" s="351"/>
      <c r="E80" s="351"/>
      <c r="F80" s="351"/>
      <c r="G80" s="351"/>
      <c r="H80" s="351"/>
      <c r="I80" s="351"/>
      <c r="J80" s="351"/>
      <c r="K80" s="351"/>
      <c r="L80" s="351"/>
    </row>
    <row r="81" spans="2:13">
      <c r="B81" s="409" t="s">
        <v>213</v>
      </c>
      <c r="C81" s="409"/>
      <c r="D81" s="409"/>
      <c r="E81" s="409"/>
      <c r="F81" s="409"/>
      <c r="G81" s="409"/>
      <c r="H81" s="409"/>
      <c r="I81" s="409"/>
      <c r="J81" s="409"/>
      <c r="K81" s="117"/>
      <c r="L81" s="118"/>
      <c r="M81" s="40"/>
    </row>
    <row r="82" spans="2:13">
      <c r="B82" s="25" t="s">
        <v>13</v>
      </c>
      <c r="C82" s="427" t="s">
        <v>66</v>
      </c>
      <c r="D82" s="427"/>
      <c r="E82" s="427"/>
      <c r="F82" s="427"/>
      <c r="G82" s="427"/>
      <c r="H82" s="427"/>
      <c r="I82" s="427"/>
      <c r="J82" s="427"/>
      <c r="K82" s="427"/>
      <c r="L82" s="29">
        <f>'Benef. e Insumos'!H54</f>
        <v>89.157499999999999</v>
      </c>
    </row>
    <row r="83" spans="2:13">
      <c r="B83" s="25" t="s">
        <v>15</v>
      </c>
      <c r="C83" s="374" t="s">
        <v>215</v>
      </c>
      <c r="D83" s="426"/>
      <c r="E83" s="441" t="s">
        <v>67</v>
      </c>
      <c r="F83" s="442"/>
      <c r="G83" s="442"/>
      <c r="H83" s="442"/>
      <c r="I83" s="443"/>
      <c r="J83" s="462">
        <v>0.12</v>
      </c>
      <c r="K83" s="463"/>
      <c r="L83" s="36" t="e">
        <f>(L17+L51+L60+L79+L82)/(1-J83)*J83</f>
        <v>#REF!</v>
      </c>
      <c r="M83" s="41"/>
    </row>
    <row r="84" spans="2:13">
      <c r="B84" s="111" t="s">
        <v>222</v>
      </c>
      <c r="C84" s="374" t="s">
        <v>223</v>
      </c>
      <c r="D84" s="426"/>
      <c r="E84" s="441"/>
      <c r="F84" s="442"/>
      <c r="G84" s="442"/>
      <c r="H84" s="442"/>
      <c r="I84" s="443"/>
      <c r="J84" s="444">
        <f>H95+H96</f>
        <v>9.2499999999999999E-2</v>
      </c>
      <c r="K84" s="445"/>
      <c r="L84" s="36" t="e">
        <f>-J84*L83</f>
        <v>#REF!</v>
      </c>
      <c r="M84" s="41"/>
    </row>
    <row r="85" spans="2:13">
      <c r="B85" s="110" t="s">
        <v>19</v>
      </c>
      <c r="C85" s="103" t="s">
        <v>214</v>
      </c>
      <c r="D85" s="104"/>
      <c r="E85" s="105"/>
      <c r="F85" s="106"/>
      <c r="G85" s="106"/>
      <c r="H85" s="106"/>
      <c r="I85" s="107"/>
      <c r="J85" s="108"/>
      <c r="K85" s="109"/>
      <c r="L85" s="36"/>
      <c r="M85" s="41"/>
    </row>
    <row r="86" spans="2:13">
      <c r="B86" s="25" t="s">
        <v>216</v>
      </c>
      <c r="C86" s="453" t="s">
        <v>3</v>
      </c>
      <c r="D86" s="453"/>
      <c r="E86" s="453"/>
      <c r="F86" s="453"/>
      <c r="G86" s="453"/>
      <c r="H86" s="453"/>
      <c r="I86" s="453"/>
      <c r="J86" s="453"/>
      <c r="K86" s="453"/>
      <c r="L86" s="36">
        <v>0</v>
      </c>
    </row>
    <row r="87" spans="2:13">
      <c r="B87" s="355" t="s">
        <v>219</v>
      </c>
      <c r="C87" s="356"/>
      <c r="D87" s="356"/>
      <c r="E87" s="356"/>
      <c r="F87" s="356"/>
      <c r="G87" s="356"/>
      <c r="H87" s="356"/>
      <c r="I87" s="356"/>
      <c r="J87" s="357"/>
      <c r="K87" s="121"/>
      <c r="L87" s="122" t="e">
        <f>SUM(L82:L86)</f>
        <v>#REF!</v>
      </c>
    </row>
    <row r="88" spans="2:13">
      <c r="B88" s="42"/>
      <c r="C88" s="42"/>
      <c r="D88" s="42"/>
      <c r="E88" s="42"/>
      <c r="F88" s="42"/>
      <c r="G88" s="42"/>
      <c r="H88" s="42"/>
      <c r="I88" s="43"/>
      <c r="J88" s="42"/>
      <c r="K88" s="42"/>
    </row>
    <row r="89" spans="2:13">
      <c r="B89" s="33"/>
      <c r="C89" s="33"/>
      <c r="D89" s="33"/>
      <c r="E89" s="33"/>
      <c r="F89" s="33"/>
      <c r="G89" s="33"/>
      <c r="H89" s="66"/>
      <c r="I89" s="66"/>
      <c r="J89" s="66"/>
      <c r="K89" s="66"/>
      <c r="L89" s="67"/>
    </row>
    <row r="90" spans="2:13">
      <c r="B90" s="409" t="s">
        <v>217</v>
      </c>
      <c r="C90" s="409"/>
      <c r="D90" s="409"/>
      <c r="E90" s="409"/>
      <c r="F90" s="409"/>
      <c r="G90" s="409"/>
      <c r="H90" s="409"/>
      <c r="I90" s="409"/>
      <c r="J90" s="409"/>
      <c r="K90" s="117"/>
      <c r="L90" s="118" t="str">
        <f>L5</f>
        <v>SERVENTE</v>
      </c>
    </row>
    <row r="91" spans="2:13">
      <c r="B91" s="25" t="s">
        <v>13</v>
      </c>
      <c r="C91" s="384" t="s">
        <v>218</v>
      </c>
      <c r="D91" s="384"/>
      <c r="E91" s="384"/>
      <c r="F91" s="384"/>
      <c r="G91" s="384"/>
      <c r="H91" s="384"/>
      <c r="I91" s="384"/>
      <c r="J91" s="384"/>
      <c r="K91" s="83">
        <v>0.05</v>
      </c>
      <c r="L91" s="45" t="e">
        <f>K91*L110</f>
        <v>#REF!</v>
      </c>
      <c r="M91" s="68"/>
    </row>
    <row r="92" spans="2:13">
      <c r="B92" s="25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3">
        <v>6.8099999999999994E-2</v>
      </c>
      <c r="L92" s="45" t="e">
        <f>K92*L110</f>
        <v>#REF!</v>
      </c>
      <c r="M92" s="68"/>
    </row>
    <row r="93" spans="2:13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 t="e">
        <f>L110+L91+L92</f>
        <v>#REF!</v>
      </c>
      <c r="K93" s="366"/>
      <c r="L93" s="65"/>
    </row>
    <row r="94" spans="2:13">
      <c r="B94" s="361"/>
      <c r="C94" s="447" t="s">
        <v>43</v>
      </c>
      <c r="D94" s="410"/>
      <c r="E94" s="410"/>
      <c r="F94" s="448"/>
      <c r="G94" s="58"/>
      <c r="H94" s="58" t="s">
        <v>44</v>
      </c>
      <c r="I94" s="58"/>
      <c r="J94" s="370"/>
      <c r="K94" s="371"/>
      <c r="L94" s="65"/>
    </row>
    <row r="95" spans="2:13">
      <c r="B95" s="361"/>
      <c r="C95" s="446" t="s">
        <v>45</v>
      </c>
      <c r="D95" s="446"/>
      <c r="E95" s="446"/>
      <c r="F95" s="446"/>
      <c r="G95" s="84" t="s">
        <v>46</v>
      </c>
      <c r="H95" s="53">
        <v>1.6500000000000001E-2</v>
      </c>
      <c r="I95" s="372">
        <f>SUM(H95:H100)</f>
        <v>0.13250000000000001</v>
      </c>
      <c r="J95" s="359" t="e">
        <f>ROUND($L$112*H95,2)</f>
        <v>#REF!</v>
      </c>
      <c r="K95" s="360"/>
      <c r="L95" s="423" t="e">
        <f>SUM(J95:K100)</f>
        <v>#REF!</v>
      </c>
    </row>
    <row r="96" spans="2:13">
      <c r="B96" s="361"/>
      <c r="C96" s="446"/>
      <c r="D96" s="446"/>
      <c r="E96" s="446"/>
      <c r="F96" s="446"/>
      <c r="G96" s="84" t="s">
        <v>47</v>
      </c>
      <c r="H96" s="53">
        <v>7.5999999999999998E-2</v>
      </c>
      <c r="I96" s="372"/>
      <c r="J96" s="359" t="e">
        <f t="shared" ref="J96:J100" si="2">ROUND($L$112*H96,2)</f>
        <v>#REF!</v>
      </c>
      <c r="K96" s="360"/>
      <c r="L96" s="424"/>
    </row>
    <row r="97" spans="2:12">
      <c r="B97" s="361"/>
      <c r="C97" s="446"/>
      <c r="D97" s="446"/>
      <c r="E97" s="446"/>
      <c r="F97" s="446"/>
      <c r="G97" s="84" t="s">
        <v>48</v>
      </c>
      <c r="H97" s="53">
        <v>0</v>
      </c>
      <c r="I97" s="372"/>
      <c r="J97" s="359" t="e">
        <f t="shared" si="2"/>
        <v>#REF!</v>
      </c>
      <c r="K97" s="360"/>
      <c r="L97" s="424"/>
    </row>
    <row r="98" spans="2:12">
      <c r="B98" s="361"/>
      <c r="C98" s="446" t="s">
        <v>49</v>
      </c>
      <c r="D98" s="446"/>
      <c r="E98" s="446"/>
      <c r="F98" s="446"/>
      <c r="G98" s="85" t="s">
        <v>50</v>
      </c>
      <c r="H98" s="53">
        <v>0.04</v>
      </c>
      <c r="I98" s="372"/>
      <c r="J98" s="359" t="e">
        <f t="shared" si="2"/>
        <v>#REF!</v>
      </c>
      <c r="K98" s="360"/>
      <c r="L98" s="424"/>
    </row>
    <row r="99" spans="2:12">
      <c r="B99" s="361"/>
      <c r="C99" s="446"/>
      <c r="D99" s="446"/>
      <c r="E99" s="446"/>
      <c r="F99" s="446"/>
      <c r="G99" s="85" t="s">
        <v>48</v>
      </c>
      <c r="H99" s="53">
        <v>0</v>
      </c>
      <c r="I99" s="372"/>
      <c r="J99" s="359" t="e">
        <f t="shared" si="2"/>
        <v>#REF!</v>
      </c>
      <c r="K99" s="360"/>
      <c r="L99" s="424"/>
    </row>
    <row r="100" spans="2:12">
      <c r="B100" s="361"/>
      <c r="C100" s="446" t="s">
        <v>51</v>
      </c>
      <c r="D100" s="446"/>
      <c r="E100" s="446"/>
      <c r="F100" s="446"/>
      <c r="G100" s="85"/>
      <c r="H100" s="53">
        <v>0</v>
      </c>
      <c r="I100" s="372"/>
      <c r="J100" s="359" t="e">
        <f t="shared" si="2"/>
        <v>#REF!</v>
      </c>
      <c r="K100" s="360"/>
      <c r="L100" s="425"/>
    </row>
    <row r="101" spans="2:12">
      <c r="B101" s="361" t="s">
        <v>52</v>
      </c>
      <c r="C101" s="361"/>
      <c r="D101" s="361"/>
      <c r="E101" s="361"/>
      <c r="F101" s="361"/>
      <c r="G101" s="361"/>
      <c r="H101" s="361"/>
      <c r="I101" s="361"/>
      <c r="J101" s="361"/>
      <c r="K101" s="361"/>
      <c r="L101" s="78" t="e">
        <f>L95+L92+L91</f>
        <v>#REF!</v>
      </c>
    </row>
    <row r="102" spans="2:12">
      <c r="B102" s="69"/>
      <c r="C102" s="69"/>
      <c r="D102" s="69"/>
      <c r="E102" s="69"/>
      <c r="F102" s="69"/>
      <c r="G102" s="69"/>
      <c r="H102" s="69"/>
      <c r="I102" s="70"/>
      <c r="J102" s="71"/>
      <c r="K102" s="69"/>
    </row>
    <row r="103" spans="2:12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2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4" t="str">
        <f>L5</f>
        <v>SERVENTE</v>
      </c>
    </row>
    <row r="105" spans="2:12">
      <c r="B105" s="25" t="s">
        <v>13</v>
      </c>
      <c r="C105" s="384" t="str">
        <f>B6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2">
        <f>L17</f>
        <v>1547.12</v>
      </c>
    </row>
    <row r="106" spans="2:12">
      <c r="B106" s="25" t="s">
        <v>15</v>
      </c>
      <c r="C106" s="384" t="str">
        <f>B19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2" t="e">
        <f>L51</f>
        <v>#REF!</v>
      </c>
    </row>
    <row r="107" spans="2:12">
      <c r="B107" s="25" t="s">
        <v>19</v>
      </c>
      <c r="C107" s="384" t="str">
        <f>B53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2">
        <f>L60</f>
        <v>8.18</v>
      </c>
    </row>
    <row r="108" spans="2:12">
      <c r="B108" s="25" t="s">
        <v>21</v>
      </c>
      <c r="C108" s="384" t="str">
        <f>B62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2">
        <f>L79</f>
        <v>152.08189599999997</v>
      </c>
    </row>
    <row r="109" spans="2:12">
      <c r="B109" s="110" t="s">
        <v>23</v>
      </c>
      <c r="C109" s="384" t="str">
        <f>B81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2" t="e">
        <f>L87</f>
        <v>#REF!</v>
      </c>
    </row>
    <row r="110" spans="2:12">
      <c r="B110" s="395" t="s">
        <v>221</v>
      </c>
      <c r="C110" s="395"/>
      <c r="D110" s="395"/>
      <c r="E110" s="395"/>
      <c r="F110" s="395"/>
      <c r="G110" s="395"/>
      <c r="H110" s="395"/>
      <c r="I110" s="395"/>
      <c r="J110" s="395"/>
      <c r="K110" s="395"/>
      <c r="L110" s="79" t="e">
        <f>SUM(L105:L109)</f>
        <v>#REF!</v>
      </c>
    </row>
    <row r="111" spans="2:12">
      <c r="B111" s="25" t="s">
        <v>23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3" t="e">
        <f>L112-L110</f>
        <v>#REF!</v>
      </c>
    </row>
    <row r="112" spans="2:12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80" t="e">
        <f>ROUND(J93/(1-$I$95),2)</f>
        <v>#REF!</v>
      </c>
    </row>
    <row r="113" spans="6:12">
      <c r="K113" s="68"/>
    </row>
    <row r="115" spans="6:12">
      <c r="F115" s="390" t="s">
        <v>57</v>
      </c>
      <c r="G115" s="391"/>
      <c r="H115" s="391"/>
      <c r="I115" s="392"/>
      <c r="J115" s="18"/>
      <c r="L115" s="18"/>
    </row>
    <row r="116" spans="6:12">
      <c r="F116" s="390" t="s">
        <v>58</v>
      </c>
      <c r="G116" s="391"/>
      <c r="H116" s="392"/>
      <c r="I116" s="74" t="s">
        <v>18</v>
      </c>
      <c r="J116" s="18"/>
      <c r="L116" s="18"/>
    </row>
    <row r="117" spans="6:12">
      <c r="F117" s="75" t="s">
        <v>59</v>
      </c>
      <c r="G117" s="75"/>
      <c r="H117" s="76"/>
      <c r="I117" s="76">
        <f>K91</f>
        <v>0.05</v>
      </c>
      <c r="J117" s="18"/>
      <c r="L117" s="18"/>
    </row>
    <row r="118" spans="6:12">
      <c r="F118" s="378" t="s">
        <v>41</v>
      </c>
      <c r="G118" s="379"/>
      <c r="H118" s="380"/>
      <c r="I118" s="76">
        <f>K92</f>
        <v>6.8099999999999994E-2</v>
      </c>
      <c r="J118" s="18"/>
      <c r="L118" s="18"/>
    </row>
    <row r="119" spans="6:12">
      <c r="F119" s="75" t="s">
        <v>60</v>
      </c>
      <c r="G119" s="75"/>
      <c r="H119" s="76"/>
      <c r="I119" s="76">
        <f>I95</f>
        <v>0.13250000000000001</v>
      </c>
      <c r="J119" s="18"/>
      <c r="L119" s="18"/>
    </row>
    <row r="120" spans="6:12">
      <c r="F120" s="381" t="s">
        <v>61</v>
      </c>
      <c r="G120" s="382"/>
      <c r="H120" s="383"/>
      <c r="I120" s="76">
        <f>(1+I117)*(1+I118)/(1-I119)-1</f>
        <v>0.29280115273775253</v>
      </c>
      <c r="J120" s="18"/>
      <c r="L120" s="18"/>
    </row>
  </sheetData>
  <mergeCells count="126">
    <mergeCell ref="B45:J45"/>
    <mergeCell ref="J94:K94"/>
    <mergeCell ref="C100:F100"/>
    <mergeCell ref="B62:J62"/>
    <mergeCell ref="C64:J64"/>
    <mergeCell ref="B53:J53"/>
    <mergeCell ref="C54:H54"/>
    <mergeCell ref="J95:K95"/>
    <mergeCell ref="J96:K96"/>
    <mergeCell ref="B52:L52"/>
    <mergeCell ref="B60:J60"/>
    <mergeCell ref="C55:H55"/>
    <mergeCell ref="I55:J55"/>
    <mergeCell ref="C56:H56"/>
    <mergeCell ref="I56:J56"/>
    <mergeCell ref="C57:H57"/>
    <mergeCell ref="I57:J57"/>
    <mergeCell ref="C58:H58"/>
    <mergeCell ref="I58:J58"/>
    <mergeCell ref="B74:J74"/>
    <mergeCell ref="B76:K76"/>
    <mergeCell ref="C77:J77"/>
    <mergeCell ref="B90:J90"/>
    <mergeCell ref="B87:J87"/>
    <mergeCell ref="C22:J22"/>
    <mergeCell ref="B25:J25"/>
    <mergeCell ref="B34:J34"/>
    <mergeCell ref="B36:J36"/>
    <mergeCell ref="C37:J37"/>
    <mergeCell ref="C38:J38"/>
    <mergeCell ref="C26:J26"/>
    <mergeCell ref="C27:J27"/>
    <mergeCell ref="C28:J28"/>
    <mergeCell ref="B101:K101"/>
    <mergeCell ref="B103:L103"/>
    <mergeCell ref="L95:L100"/>
    <mergeCell ref="C31:D31"/>
    <mergeCell ref="E31:F31"/>
    <mergeCell ref="G31:J31"/>
    <mergeCell ref="C92:J92"/>
    <mergeCell ref="B93:B100"/>
    <mergeCell ref="C95:F97"/>
    <mergeCell ref="I95:I100"/>
    <mergeCell ref="C98:F99"/>
    <mergeCell ref="C91:J91"/>
    <mergeCell ref="C94:F94"/>
    <mergeCell ref="J93:K93"/>
    <mergeCell ref="C93:I93"/>
    <mergeCell ref="J97:K97"/>
    <mergeCell ref="J98:K98"/>
    <mergeCell ref="J99:K99"/>
    <mergeCell ref="J100:K100"/>
    <mergeCell ref="C39:J39"/>
    <mergeCell ref="C40:J40"/>
    <mergeCell ref="C41:J41"/>
    <mergeCell ref="C42:J42"/>
    <mergeCell ref="C43:J43"/>
    <mergeCell ref="C111:K111"/>
    <mergeCell ref="B112:K112"/>
    <mergeCell ref="F115:I115"/>
    <mergeCell ref="F116:H116"/>
    <mergeCell ref="F118:H118"/>
    <mergeCell ref="F120:H120"/>
    <mergeCell ref="B104:K104"/>
    <mergeCell ref="C105:K105"/>
    <mergeCell ref="C106:K106"/>
    <mergeCell ref="C107:K107"/>
    <mergeCell ref="C108:K108"/>
    <mergeCell ref="B110:K110"/>
    <mergeCell ref="C109:K109"/>
    <mergeCell ref="C86:K86"/>
    <mergeCell ref="B72:J72"/>
    <mergeCell ref="C73:J73"/>
    <mergeCell ref="C82:K82"/>
    <mergeCell ref="C83:D83"/>
    <mergeCell ref="E83:I83"/>
    <mergeCell ref="J83:K83"/>
    <mergeCell ref="C78:J78"/>
    <mergeCell ref="C84:D84"/>
    <mergeCell ref="E84:I84"/>
    <mergeCell ref="J84:K84"/>
    <mergeCell ref="B79:J79"/>
    <mergeCell ref="B80:L80"/>
    <mergeCell ref="B81:J81"/>
    <mergeCell ref="B47:K47"/>
    <mergeCell ref="C48:J48"/>
    <mergeCell ref="C49:J49"/>
    <mergeCell ref="C50:J50"/>
    <mergeCell ref="B51:J51"/>
    <mergeCell ref="C67:E67"/>
    <mergeCell ref="C68:E68"/>
    <mergeCell ref="B70:J70"/>
    <mergeCell ref="B63:J63"/>
    <mergeCell ref="G68:H68"/>
    <mergeCell ref="C69:J69"/>
    <mergeCell ref="C65:F65"/>
    <mergeCell ref="G65:I65"/>
    <mergeCell ref="C66:F66"/>
    <mergeCell ref="G66:H66"/>
    <mergeCell ref="C59:H59"/>
    <mergeCell ref="I59:J59"/>
    <mergeCell ref="G67:H67"/>
    <mergeCell ref="B2:L2"/>
    <mergeCell ref="B3:L4"/>
    <mergeCell ref="B6:L6"/>
    <mergeCell ref="C7:K7"/>
    <mergeCell ref="C9:E9"/>
    <mergeCell ref="F9:I9"/>
    <mergeCell ref="C44:K44"/>
    <mergeCell ref="C14:I14"/>
    <mergeCell ref="C15:K15"/>
    <mergeCell ref="C16:K16"/>
    <mergeCell ref="B17:K17"/>
    <mergeCell ref="C8:K8"/>
    <mergeCell ref="C29:J29"/>
    <mergeCell ref="C30:J30"/>
    <mergeCell ref="C32:F32"/>
    <mergeCell ref="C33:J33"/>
    <mergeCell ref="C10:I10"/>
    <mergeCell ref="C11:I11"/>
    <mergeCell ref="C12:I12"/>
    <mergeCell ref="C13:I13"/>
    <mergeCell ref="B19:K19"/>
    <mergeCell ref="B20:J20"/>
    <mergeCell ref="B23:J23"/>
    <mergeCell ref="C21:J21"/>
  </mergeCells>
  <pageMargins left="0.511811024" right="0.511811024" top="0.78740157499999996" bottom="0.78740157499999996" header="0.31496062000000002" footer="0.3149606200000000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8" customWidth="1"/>
    <col min="2" max="2" width="4.5703125" style="18" customWidth="1"/>
    <col min="3" max="3" width="9" style="18" customWidth="1"/>
    <col min="4" max="4" width="25" style="18" customWidth="1"/>
    <col min="5" max="5" width="4.7109375" style="18" bestFit="1" customWidth="1"/>
    <col min="6" max="6" width="9" style="18" bestFit="1" customWidth="1"/>
    <col min="7" max="7" width="10.42578125" style="18" customWidth="1"/>
    <col min="8" max="8" width="10.7109375" style="18" customWidth="1"/>
    <col min="9" max="9" width="16.7109375" style="50" customWidth="1"/>
    <col min="10" max="10" width="9" style="51" bestFit="1" customWidth="1"/>
    <col min="11" max="11" width="9.140625" style="18" bestFit="1" customWidth="1"/>
    <col min="12" max="12" width="12.7109375" style="35" bestFit="1" customWidth="1"/>
    <col min="13" max="13" width="13.28515625" style="18" bestFit="1" customWidth="1"/>
    <col min="14" max="16384" width="11.85546875" style="18"/>
  </cols>
  <sheetData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9" customFormat="1">
      <c r="B3" s="456" t="e">
        <f>#REF!</f>
        <v>#REF!</v>
      </c>
      <c r="C3" s="457"/>
      <c r="D3" s="457"/>
      <c r="E3" s="457"/>
      <c r="F3" s="457"/>
      <c r="G3" s="457"/>
      <c r="H3" s="457"/>
      <c r="I3" s="457"/>
      <c r="J3" s="457"/>
      <c r="K3" s="457"/>
      <c r="L3" s="458"/>
    </row>
    <row r="4" spans="2:13" s="19" customFormat="1">
      <c r="B4" s="459"/>
      <c r="C4" s="460"/>
      <c r="D4" s="460"/>
      <c r="E4" s="460"/>
      <c r="F4" s="460"/>
      <c r="G4" s="460"/>
      <c r="H4" s="460"/>
      <c r="I4" s="460"/>
      <c r="J4" s="460"/>
      <c r="K4" s="460"/>
      <c r="L4" s="461"/>
    </row>
    <row r="5" spans="2:13">
      <c r="B5" s="20"/>
      <c r="C5" s="21"/>
      <c r="D5" s="21"/>
      <c r="E5" s="21"/>
      <c r="F5" s="21"/>
      <c r="G5" s="21"/>
      <c r="H5" s="21"/>
      <c r="I5" s="22"/>
      <c r="J5" s="21"/>
      <c r="K5" s="23"/>
      <c r="L5" s="24" t="s">
        <v>62</v>
      </c>
    </row>
    <row r="6" spans="2:13">
      <c r="B6" s="409" t="s">
        <v>12</v>
      </c>
      <c r="C6" s="409"/>
      <c r="D6" s="409"/>
      <c r="E6" s="409"/>
      <c r="F6" s="409"/>
      <c r="G6" s="409"/>
      <c r="H6" s="409"/>
      <c r="I6" s="409"/>
      <c r="J6" s="409"/>
      <c r="K6" s="409"/>
      <c r="L6" s="409"/>
    </row>
    <row r="7" spans="2:13">
      <c r="B7" s="77" t="s">
        <v>13</v>
      </c>
      <c r="C7" s="384" t="s">
        <v>14</v>
      </c>
      <c r="D7" s="384"/>
      <c r="E7" s="384"/>
      <c r="F7" s="384"/>
      <c r="G7" s="384"/>
      <c r="H7" s="384"/>
      <c r="I7" s="384"/>
      <c r="J7" s="384"/>
      <c r="K7" s="384"/>
      <c r="L7" s="26">
        <f>'Benef. e Insumos'!E10</f>
        <v>1547.12</v>
      </c>
    </row>
    <row r="8" spans="2:13">
      <c r="B8" s="99" t="s">
        <v>166</v>
      </c>
      <c r="C8" s="384" t="s">
        <v>167</v>
      </c>
      <c r="D8" s="384"/>
      <c r="E8" s="384"/>
      <c r="F8" s="384"/>
      <c r="G8" s="384"/>
      <c r="H8" s="384"/>
      <c r="I8" s="384"/>
      <c r="J8" s="384"/>
      <c r="K8" s="384"/>
      <c r="L8" s="26"/>
    </row>
    <row r="9" spans="2:13">
      <c r="B9" s="77" t="s">
        <v>15</v>
      </c>
      <c r="C9" s="384" t="s">
        <v>16</v>
      </c>
      <c r="D9" s="384"/>
      <c r="E9" s="384"/>
      <c r="F9" s="349" t="s">
        <v>17</v>
      </c>
      <c r="G9" s="349"/>
      <c r="H9" s="349"/>
      <c r="I9" s="349"/>
      <c r="J9" s="27" t="s">
        <v>18</v>
      </c>
      <c r="K9" s="28">
        <v>0</v>
      </c>
      <c r="L9" s="29">
        <v>0</v>
      </c>
      <c r="M9" s="30"/>
    </row>
    <row r="10" spans="2:13">
      <c r="B10" s="110" t="s">
        <v>19</v>
      </c>
      <c r="C10" s="367" t="s">
        <v>172</v>
      </c>
      <c r="D10" s="368"/>
      <c r="E10" s="368"/>
      <c r="F10" s="368"/>
      <c r="G10" s="368"/>
      <c r="H10" s="368"/>
      <c r="I10" s="369"/>
      <c r="J10" s="27" t="s">
        <v>18</v>
      </c>
      <c r="K10" s="28">
        <v>0</v>
      </c>
      <c r="L10" s="29">
        <v>0</v>
      </c>
      <c r="M10" s="30"/>
    </row>
    <row r="11" spans="2:13">
      <c r="B11" s="110" t="s">
        <v>21</v>
      </c>
      <c r="C11" s="367" t="s">
        <v>169</v>
      </c>
      <c r="D11" s="368"/>
      <c r="E11" s="368"/>
      <c r="F11" s="368"/>
      <c r="G11" s="368"/>
      <c r="H11" s="368"/>
      <c r="I11" s="369"/>
      <c r="J11" s="27" t="s">
        <v>18</v>
      </c>
      <c r="K11" s="28">
        <v>0</v>
      </c>
      <c r="L11" s="29">
        <v>0</v>
      </c>
      <c r="M11" s="30"/>
    </row>
    <row r="12" spans="2:13">
      <c r="B12" s="110" t="s">
        <v>23</v>
      </c>
      <c r="C12" s="367" t="s">
        <v>170</v>
      </c>
      <c r="D12" s="368"/>
      <c r="E12" s="368"/>
      <c r="F12" s="368"/>
      <c r="G12" s="368"/>
      <c r="H12" s="368"/>
      <c r="I12" s="369"/>
      <c r="J12" s="27" t="s">
        <v>18</v>
      </c>
      <c r="K12" s="28">
        <v>0</v>
      </c>
      <c r="L12" s="29">
        <v>0</v>
      </c>
      <c r="M12" s="30"/>
    </row>
    <row r="13" spans="2:13">
      <c r="B13" s="110" t="s">
        <v>6</v>
      </c>
      <c r="C13" s="367" t="s">
        <v>171</v>
      </c>
      <c r="D13" s="368"/>
      <c r="E13" s="368"/>
      <c r="F13" s="368"/>
      <c r="G13" s="368"/>
      <c r="H13" s="368"/>
      <c r="I13" s="369"/>
      <c r="J13" s="27" t="s">
        <v>18</v>
      </c>
      <c r="K13" s="28">
        <v>0</v>
      </c>
      <c r="L13" s="29">
        <v>0</v>
      </c>
      <c r="M13" s="30"/>
    </row>
    <row r="14" spans="2:13">
      <c r="B14" s="110" t="s">
        <v>24</v>
      </c>
      <c r="C14" s="399" t="s">
        <v>20</v>
      </c>
      <c r="D14" s="399"/>
      <c r="E14" s="399"/>
      <c r="F14" s="399"/>
      <c r="G14" s="399"/>
      <c r="H14" s="399"/>
      <c r="I14" s="399"/>
      <c r="J14" s="27" t="s">
        <v>18</v>
      </c>
      <c r="K14" s="31">
        <v>0</v>
      </c>
      <c r="L14" s="29">
        <v>0</v>
      </c>
      <c r="M14" s="30"/>
    </row>
    <row r="15" spans="2:13">
      <c r="B15" s="110" t="s">
        <v>25</v>
      </c>
      <c r="C15" s="416" t="s">
        <v>22</v>
      </c>
      <c r="D15" s="416"/>
      <c r="E15" s="416"/>
      <c r="F15" s="416"/>
      <c r="G15" s="416"/>
      <c r="H15" s="416"/>
      <c r="I15" s="416"/>
      <c r="J15" s="416"/>
      <c r="K15" s="416"/>
      <c r="L15" s="29">
        <v>0</v>
      </c>
      <c r="M15" s="30"/>
    </row>
    <row r="16" spans="2:13">
      <c r="B16" s="110" t="s">
        <v>168</v>
      </c>
      <c r="C16" s="453" t="s">
        <v>3</v>
      </c>
      <c r="D16" s="453"/>
      <c r="E16" s="453"/>
      <c r="F16" s="453"/>
      <c r="G16" s="453"/>
      <c r="H16" s="453"/>
      <c r="I16" s="453"/>
      <c r="J16" s="453"/>
      <c r="K16" s="453"/>
      <c r="L16" s="29"/>
      <c r="M16" s="30"/>
    </row>
    <row r="17" spans="2:13">
      <c r="B17" s="417" t="s">
        <v>220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120">
        <f>SUM(L7:L16)</f>
        <v>1547.12</v>
      </c>
      <c r="M17" s="32"/>
    </row>
    <row r="18" spans="2:13">
      <c r="B18" s="33"/>
      <c r="C18" s="33"/>
      <c r="D18" s="33"/>
      <c r="E18" s="33"/>
      <c r="F18" s="33"/>
      <c r="G18" s="33"/>
      <c r="H18" s="33"/>
      <c r="I18" s="34"/>
      <c r="J18" s="33"/>
      <c r="K18" s="33"/>
    </row>
    <row r="19" spans="2:13">
      <c r="B19" s="409" t="s">
        <v>173</v>
      </c>
      <c r="C19" s="409"/>
      <c r="D19" s="409"/>
      <c r="E19" s="409"/>
      <c r="F19" s="409"/>
      <c r="G19" s="409"/>
      <c r="H19" s="409"/>
      <c r="I19" s="409"/>
      <c r="J19" s="409"/>
      <c r="K19" s="409"/>
      <c r="L19" s="24" t="str">
        <f>L5</f>
        <v>SERVENTE</v>
      </c>
    </row>
    <row r="20" spans="2:13">
      <c r="B20" s="407" t="s">
        <v>174</v>
      </c>
      <c r="C20" s="408"/>
      <c r="D20" s="408"/>
      <c r="E20" s="408"/>
      <c r="F20" s="408"/>
      <c r="G20" s="408"/>
      <c r="H20" s="408"/>
      <c r="I20" s="408"/>
      <c r="J20" s="408"/>
      <c r="K20" s="112" t="s">
        <v>18</v>
      </c>
      <c r="L20" s="29" t="s">
        <v>178</v>
      </c>
    </row>
    <row r="21" spans="2:13">
      <c r="B21" s="110" t="s">
        <v>13</v>
      </c>
      <c r="C21" s="367" t="s">
        <v>175</v>
      </c>
      <c r="D21" s="368"/>
      <c r="E21" s="368"/>
      <c r="F21" s="368"/>
      <c r="G21" s="368"/>
      <c r="H21" s="368"/>
      <c r="I21" s="368"/>
      <c r="J21" s="369"/>
      <c r="K21" s="52">
        <v>8.3299999999999999E-2</v>
      </c>
      <c r="L21" s="29">
        <f>K21*L17</f>
        <v>128.87509599999998</v>
      </c>
    </row>
    <row r="22" spans="2:13">
      <c r="B22" s="110" t="s">
        <v>15</v>
      </c>
      <c r="C22" s="367" t="s">
        <v>176</v>
      </c>
      <c r="D22" s="368"/>
      <c r="E22" s="368"/>
      <c r="F22" s="368"/>
      <c r="G22" s="368"/>
      <c r="H22" s="368"/>
      <c r="I22" s="368"/>
      <c r="J22" s="369"/>
      <c r="K22" s="52">
        <v>2.7799999999999998E-2</v>
      </c>
      <c r="L22" s="29">
        <f>K22*L17</f>
        <v>43.009935999999996</v>
      </c>
    </row>
    <row r="23" spans="2:13">
      <c r="B23" s="449" t="s">
        <v>177</v>
      </c>
      <c r="C23" s="348"/>
      <c r="D23" s="348"/>
      <c r="E23" s="348"/>
      <c r="F23" s="348"/>
      <c r="G23" s="348"/>
      <c r="H23" s="348"/>
      <c r="I23" s="348"/>
      <c r="J23" s="450"/>
      <c r="K23" s="52">
        <f>SUM(K21:K22)</f>
        <v>0.1111</v>
      </c>
      <c r="L23" s="29">
        <f>SUM(L21:L22)</f>
        <v>171.88503199999997</v>
      </c>
    </row>
    <row r="24" spans="2:13">
      <c r="B24" s="113"/>
      <c r="C24" s="114"/>
      <c r="D24" s="114"/>
      <c r="E24" s="114"/>
      <c r="F24" s="114"/>
      <c r="G24" s="114"/>
      <c r="H24" s="114"/>
      <c r="I24" s="114"/>
      <c r="J24" s="115"/>
      <c r="K24" s="52"/>
      <c r="L24" s="29"/>
    </row>
    <row r="25" spans="2:13">
      <c r="B25" s="407" t="s">
        <v>179</v>
      </c>
      <c r="C25" s="408"/>
      <c r="D25" s="408"/>
      <c r="E25" s="408"/>
      <c r="F25" s="408"/>
      <c r="G25" s="408"/>
      <c r="H25" s="408"/>
      <c r="I25" s="408"/>
      <c r="J25" s="408"/>
      <c r="K25" s="112" t="s">
        <v>18</v>
      </c>
      <c r="L25" s="29" t="s">
        <v>178</v>
      </c>
    </row>
    <row r="26" spans="2:13">
      <c r="B26" s="92" t="s">
        <v>13</v>
      </c>
      <c r="C26" s="349" t="s">
        <v>26</v>
      </c>
      <c r="D26" s="349"/>
      <c r="E26" s="349"/>
      <c r="F26" s="349"/>
      <c r="G26" s="349"/>
      <c r="H26" s="349"/>
      <c r="I26" s="349"/>
      <c r="J26" s="349"/>
      <c r="K26" s="44">
        <v>0.2</v>
      </c>
      <c r="L26" s="45">
        <f>ROUND($K$26*L17,2)</f>
        <v>309.42</v>
      </c>
    </row>
    <row r="27" spans="2:13">
      <c r="B27" s="92" t="s">
        <v>15</v>
      </c>
      <c r="C27" s="349" t="s">
        <v>27</v>
      </c>
      <c r="D27" s="349"/>
      <c r="E27" s="349"/>
      <c r="F27" s="349"/>
      <c r="G27" s="349"/>
      <c r="H27" s="349"/>
      <c r="I27" s="349"/>
      <c r="J27" s="349"/>
      <c r="K27" s="44">
        <v>1.4999999999999999E-2</v>
      </c>
      <c r="L27" s="45">
        <f>ROUND($K$27*L17,2)</f>
        <v>23.21</v>
      </c>
    </row>
    <row r="28" spans="2:13">
      <c r="B28" s="92" t="s">
        <v>19</v>
      </c>
      <c r="C28" s="349" t="s">
        <v>28</v>
      </c>
      <c r="D28" s="349"/>
      <c r="E28" s="349"/>
      <c r="F28" s="349"/>
      <c r="G28" s="349"/>
      <c r="H28" s="349"/>
      <c r="I28" s="349"/>
      <c r="J28" s="349"/>
      <c r="K28" s="44">
        <v>0.01</v>
      </c>
      <c r="L28" s="45">
        <f>ROUND(K28*$L$17,2)</f>
        <v>15.47</v>
      </c>
    </row>
    <row r="29" spans="2:13">
      <c r="B29" s="92" t="s">
        <v>21</v>
      </c>
      <c r="C29" s="349" t="s">
        <v>29</v>
      </c>
      <c r="D29" s="349"/>
      <c r="E29" s="349"/>
      <c r="F29" s="349"/>
      <c r="G29" s="349"/>
      <c r="H29" s="349"/>
      <c r="I29" s="349"/>
      <c r="J29" s="349"/>
      <c r="K29" s="44">
        <v>2E-3</v>
      </c>
      <c r="L29" s="45">
        <f>ROUND(K29*$L$17,2)</f>
        <v>3.09</v>
      </c>
    </row>
    <row r="30" spans="2:13">
      <c r="B30" s="92" t="s">
        <v>23</v>
      </c>
      <c r="C30" s="349" t="s">
        <v>30</v>
      </c>
      <c r="D30" s="349"/>
      <c r="E30" s="349"/>
      <c r="F30" s="349"/>
      <c r="G30" s="349"/>
      <c r="H30" s="349"/>
      <c r="I30" s="349"/>
      <c r="J30" s="349"/>
      <c r="K30" s="44">
        <v>2.5000000000000001E-2</v>
      </c>
      <c r="L30" s="45">
        <f>ROUND(K30*$L$17,2)</f>
        <v>38.68</v>
      </c>
      <c r="M30" s="46"/>
    </row>
    <row r="31" spans="2:13">
      <c r="B31" s="92" t="s">
        <v>6</v>
      </c>
      <c r="C31" s="367" t="s">
        <v>165</v>
      </c>
      <c r="D31" s="369"/>
      <c r="E31" s="454">
        <v>0.08</v>
      </c>
      <c r="F31" s="455"/>
      <c r="G31" s="367" t="s">
        <v>164</v>
      </c>
      <c r="H31" s="368"/>
      <c r="I31" s="368"/>
      <c r="J31" s="369"/>
      <c r="K31" s="44">
        <f>E31*(1+(1/12)+(1/12/3))</f>
        <v>8.8888888888888878E-2</v>
      </c>
      <c r="L31" s="45">
        <f>ROUND(K31*($L$17+(1/3/12*L17)+(1/12*L17)),2)</f>
        <v>152.80000000000001</v>
      </c>
      <c r="M31" s="18" t="s">
        <v>180</v>
      </c>
    </row>
    <row r="32" spans="2:13">
      <c r="B32" s="92" t="s">
        <v>24</v>
      </c>
      <c r="C32" s="349" t="s">
        <v>31</v>
      </c>
      <c r="D32" s="349"/>
      <c r="E32" s="349"/>
      <c r="F32" s="349"/>
      <c r="G32" s="91" t="s">
        <v>32</v>
      </c>
      <c r="H32" s="48">
        <v>0.03</v>
      </c>
      <c r="I32" s="91" t="s">
        <v>33</v>
      </c>
      <c r="J32" s="81">
        <v>1</v>
      </c>
      <c r="K32" s="49">
        <f>H32*J32</f>
        <v>0.03</v>
      </c>
      <c r="L32" s="45">
        <f>ROUND(K32*$L$17,2)</f>
        <v>46.41</v>
      </c>
    </row>
    <row r="33" spans="2:20">
      <c r="B33" s="92" t="s">
        <v>25</v>
      </c>
      <c r="C33" s="349" t="s">
        <v>34</v>
      </c>
      <c r="D33" s="349"/>
      <c r="E33" s="349"/>
      <c r="F33" s="349"/>
      <c r="G33" s="349"/>
      <c r="H33" s="349"/>
      <c r="I33" s="349"/>
      <c r="J33" s="349"/>
      <c r="K33" s="44">
        <v>6.0000000000000001E-3</v>
      </c>
      <c r="L33" s="45">
        <f>ROUND(K33*$L$17,2)</f>
        <v>9.2799999999999994</v>
      </c>
      <c r="M33" s="19"/>
      <c r="N33" s="19"/>
      <c r="O33" s="19"/>
      <c r="P33" s="19"/>
      <c r="Q33" s="19"/>
      <c r="R33" s="19"/>
      <c r="S33" s="19"/>
      <c r="T33" s="19"/>
    </row>
    <row r="34" spans="2:20">
      <c r="B34" s="449" t="s">
        <v>181</v>
      </c>
      <c r="C34" s="348"/>
      <c r="D34" s="348"/>
      <c r="E34" s="348"/>
      <c r="F34" s="348"/>
      <c r="G34" s="348"/>
      <c r="H34" s="348"/>
      <c r="I34" s="348"/>
      <c r="J34" s="450"/>
      <c r="K34" s="52">
        <f>SUM(K26:K33)</f>
        <v>0.37688888888888894</v>
      </c>
      <c r="L34" s="29">
        <f>SUM(L26:L33)</f>
        <v>598.36</v>
      </c>
      <c r="M34" s="19"/>
      <c r="N34" s="19"/>
      <c r="O34" s="19"/>
      <c r="P34" s="19"/>
      <c r="Q34" s="19"/>
      <c r="R34" s="19"/>
      <c r="S34" s="19"/>
      <c r="T34" s="19"/>
    </row>
    <row r="35" spans="2:20">
      <c r="B35" s="113"/>
      <c r="C35" s="114"/>
      <c r="D35" s="114"/>
      <c r="E35" s="114"/>
      <c r="F35" s="114"/>
      <c r="G35" s="114"/>
      <c r="H35" s="114"/>
      <c r="I35" s="114"/>
      <c r="J35" s="115"/>
      <c r="K35" s="52"/>
      <c r="L35" s="29"/>
      <c r="M35" s="19"/>
      <c r="N35" s="19"/>
      <c r="O35" s="19"/>
      <c r="P35" s="19"/>
      <c r="Q35" s="19"/>
      <c r="R35" s="19"/>
      <c r="S35" s="19"/>
      <c r="T35" s="19"/>
    </row>
    <row r="36" spans="2:20">
      <c r="B36" s="407" t="s">
        <v>182</v>
      </c>
      <c r="C36" s="408"/>
      <c r="D36" s="408"/>
      <c r="E36" s="408"/>
      <c r="F36" s="408"/>
      <c r="G36" s="408"/>
      <c r="H36" s="408"/>
      <c r="I36" s="408"/>
      <c r="J36" s="408"/>
      <c r="K36" s="112"/>
      <c r="L36" s="29" t="s">
        <v>178</v>
      </c>
    </row>
    <row r="37" spans="2:20">
      <c r="B37" s="77" t="s">
        <v>13</v>
      </c>
      <c r="C37" s="367" t="str">
        <f>'Benef. e Insumos'!B19</f>
        <v xml:space="preserve">CLÁUSULA SÉTIMA - CESTA BÁSICA </v>
      </c>
      <c r="D37" s="368"/>
      <c r="E37" s="368"/>
      <c r="F37" s="368"/>
      <c r="G37" s="368"/>
      <c r="H37" s="368"/>
      <c r="I37" s="368"/>
      <c r="J37" s="369"/>
      <c r="K37" s="100"/>
      <c r="L37" s="29">
        <f>'Benef. e Insumos'!D21</f>
        <v>0</v>
      </c>
    </row>
    <row r="38" spans="2:20">
      <c r="B38" s="77" t="s">
        <v>15</v>
      </c>
      <c r="C38" s="367" t="str">
        <f>'Benef. e Insumos'!B13</f>
        <v>CLÁUSULA SÉTIMA - TÍQUETE REFEIÇÃO</v>
      </c>
      <c r="D38" s="368"/>
      <c r="E38" s="368"/>
      <c r="F38" s="368"/>
      <c r="G38" s="368"/>
      <c r="H38" s="368"/>
      <c r="I38" s="368"/>
      <c r="J38" s="369"/>
      <c r="K38" s="100"/>
      <c r="L38" s="29">
        <f>'Benef. e Insumos'!H17</f>
        <v>300.12</v>
      </c>
    </row>
    <row r="39" spans="2:20">
      <c r="B39" s="77" t="s">
        <v>19</v>
      </c>
      <c r="C39" s="367" t="e">
        <f>'Benef. e Insumos'!#REF!</f>
        <v>#REF!</v>
      </c>
      <c r="D39" s="368"/>
      <c r="E39" s="368"/>
      <c r="F39" s="368"/>
      <c r="G39" s="368"/>
      <c r="H39" s="368"/>
      <c r="I39" s="368"/>
      <c r="J39" s="369"/>
      <c r="K39" s="100"/>
      <c r="L39" s="29" t="e">
        <f>'Benef. e Insumos'!#REF!</f>
        <v>#REF!</v>
      </c>
    </row>
    <row r="40" spans="2:20">
      <c r="B40" s="99" t="s">
        <v>21</v>
      </c>
      <c r="C40" s="367" t="e">
        <f>'Benef. e Insumos'!#REF!</f>
        <v>#REF!</v>
      </c>
      <c r="D40" s="368"/>
      <c r="E40" s="368"/>
      <c r="F40" s="368"/>
      <c r="G40" s="368"/>
      <c r="H40" s="368"/>
      <c r="I40" s="368"/>
      <c r="J40" s="369"/>
      <c r="K40" s="100"/>
      <c r="L40" s="29" t="e">
        <f>'Benef. e Insumos'!#REF!</f>
        <v>#REF!</v>
      </c>
    </row>
    <row r="41" spans="2:20">
      <c r="B41" s="99" t="s">
        <v>23</v>
      </c>
      <c r="C41" s="367" t="e">
        <f>'Benef. e Insumos'!#REF!</f>
        <v>#REF!</v>
      </c>
      <c r="D41" s="368"/>
      <c r="E41" s="368"/>
      <c r="F41" s="368"/>
      <c r="G41" s="368"/>
      <c r="H41" s="368"/>
      <c r="I41" s="368"/>
      <c r="J41" s="369"/>
      <c r="K41" s="101"/>
      <c r="L41" s="29" t="e">
        <f>'Benef. e Insumos'!#REF!</f>
        <v>#REF!</v>
      </c>
    </row>
    <row r="42" spans="2:20">
      <c r="B42" s="99" t="s">
        <v>6</v>
      </c>
      <c r="C42" s="367" t="e">
        <f>'Benef. e Insumos'!#REF!</f>
        <v>#REF!</v>
      </c>
      <c r="D42" s="368"/>
      <c r="E42" s="368"/>
      <c r="F42" s="368"/>
      <c r="G42" s="368"/>
      <c r="H42" s="368"/>
      <c r="I42" s="368"/>
      <c r="J42" s="369"/>
      <c r="K42" s="102"/>
      <c r="L42" s="29" t="e">
        <f>'Benef. e Insumos'!#REF!</f>
        <v>#REF!</v>
      </c>
    </row>
    <row r="43" spans="2:20">
      <c r="B43" s="99" t="s">
        <v>24</v>
      </c>
      <c r="C43" s="367" t="str">
        <f>'Benef. e Insumos'!B27</f>
        <v xml:space="preserve"> AUXÍLIO TRANSPORTE</v>
      </c>
      <c r="D43" s="368"/>
      <c r="E43" s="368"/>
      <c r="F43" s="368"/>
      <c r="G43" s="368"/>
      <c r="H43" s="368"/>
      <c r="I43" s="368"/>
      <c r="J43" s="369"/>
      <c r="K43" s="102"/>
      <c r="L43" s="29">
        <f>'Benef. e Insumos'!G29</f>
        <v>21.172800000000009</v>
      </c>
    </row>
    <row r="44" spans="2:20">
      <c r="B44" s="99" t="s">
        <v>25</v>
      </c>
      <c r="C44" s="453" t="s">
        <v>3</v>
      </c>
      <c r="D44" s="453"/>
      <c r="E44" s="453"/>
      <c r="F44" s="453"/>
      <c r="G44" s="453"/>
      <c r="H44" s="453"/>
      <c r="I44" s="453"/>
      <c r="J44" s="453"/>
      <c r="K44" s="453"/>
      <c r="L44" s="36">
        <v>0</v>
      </c>
    </row>
    <row r="45" spans="2:20">
      <c r="B45" s="449" t="s">
        <v>184</v>
      </c>
      <c r="C45" s="348"/>
      <c r="D45" s="348"/>
      <c r="E45" s="348"/>
      <c r="F45" s="348"/>
      <c r="G45" s="348"/>
      <c r="H45" s="348"/>
      <c r="I45" s="348"/>
      <c r="J45" s="450"/>
      <c r="K45" s="52"/>
      <c r="L45" s="29" t="e">
        <f>SUM(L37:L44)</f>
        <v>#REF!</v>
      </c>
    </row>
    <row r="46" spans="2:20">
      <c r="B46" s="113"/>
      <c r="C46" s="114"/>
      <c r="D46" s="114"/>
      <c r="E46" s="114"/>
      <c r="F46" s="114"/>
      <c r="G46" s="114"/>
      <c r="H46" s="114"/>
      <c r="I46" s="114"/>
      <c r="J46" s="115"/>
      <c r="K46" s="52"/>
      <c r="L46" s="29"/>
    </row>
    <row r="47" spans="2:20">
      <c r="B47" s="393" t="s">
        <v>185</v>
      </c>
      <c r="C47" s="393"/>
      <c r="D47" s="393"/>
      <c r="E47" s="393"/>
      <c r="F47" s="393"/>
      <c r="G47" s="393"/>
      <c r="H47" s="393"/>
      <c r="I47" s="393"/>
      <c r="J47" s="393"/>
      <c r="K47" s="393"/>
      <c r="L47" s="24" t="str">
        <f>L5</f>
        <v>SERVENTE</v>
      </c>
    </row>
    <row r="48" spans="2:20">
      <c r="B48" s="110" t="s">
        <v>186</v>
      </c>
      <c r="C48" s="367" t="s">
        <v>189</v>
      </c>
      <c r="D48" s="368"/>
      <c r="E48" s="368"/>
      <c r="F48" s="368"/>
      <c r="G48" s="368"/>
      <c r="H48" s="368"/>
      <c r="I48" s="368"/>
      <c r="J48" s="369"/>
      <c r="K48" s="100"/>
      <c r="L48" s="29">
        <f>L23</f>
        <v>171.88503199999997</v>
      </c>
    </row>
    <row r="49" spans="2:12">
      <c r="B49" s="110" t="s">
        <v>187</v>
      </c>
      <c r="C49" s="367" t="s">
        <v>190</v>
      </c>
      <c r="D49" s="368"/>
      <c r="E49" s="368"/>
      <c r="F49" s="368"/>
      <c r="G49" s="368"/>
      <c r="H49" s="368"/>
      <c r="I49" s="368"/>
      <c r="J49" s="369"/>
      <c r="K49" s="100"/>
      <c r="L49" s="29">
        <f>L34</f>
        <v>598.36</v>
      </c>
    </row>
    <row r="50" spans="2:12">
      <c r="B50" s="110" t="s">
        <v>188</v>
      </c>
      <c r="C50" s="367" t="s">
        <v>192</v>
      </c>
      <c r="D50" s="368"/>
      <c r="E50" s="368"/>
      <c r="F50" s="368"/>
      <c r="G50" s="368"/>
      <c r="H50" s="368"/>
      <c r="I50" s="368"/>
      <c r="J50" s="369"/>
      <c r="K50" s="100"/>
      <c r="L50" s="29" t="e">
        <f>L45</f>
        <v>#REF!</v>
      </c>
    </row>
    <row r="51" spans="2:12">
      <c r="B51" s="355" t="s">
        <v>191</v>
      </c>
      <c r="C51" s="356"/>
      <c r="D51" s="356"/>
      <c r="E51" s="356"/>
      <c r="F51" s="356"/>
      <c r="G51" s="356"/>
      <c r="H51" s="356"/>
      <c r="I51" s="356"/>
      <c r="J51" s="357"/>
      <c r="K51" s="121"/>
      <c r="L51" s="122" t="e">
        <f>SUM(L48:L50)</f>
        <v>#REF!</v>
      </c>
    </row>
    <row r="52" spans="2:12">
      <c r="B52" s="350"/>
      <c r="C52" s="351"/>
      <c r="D52" s="351"/>
      <c r="E52" s="351"/>
      <c r="F52" s="351"/>
      <c r="G52" s="351"/>
      <c r="H52" s="351"/>
      <c r="I52" s="351"/>
      <c r="J52" s="351"/>
      <c r="K52" s="351"/>
      <c r="L52" s="351"/>
    </row>
    <row r="53" spans="2:12">
      <c r="B53" s="409" t="s">
        <v>183</v>
      </c>
      <c r="C53" s="409"/>
      <c r="D53" s="409"/>
      <c r="E53" s="409"/>
      <c r="F53" s="409"/>
      <c r="G53" s="409"/>
      <c r="H53" s="409"/>
      <c r="I53" s="409"/>
      <c r="J53" s="409"/>
      <c r="K53" s="117" t="s">
        <v>18</v>
      </c>
      <c r="L53" s="118" t="s">
        <v>178</v>
      </c>
    </row>
    <row r="54" spans="2:12">
      <c r="B54" s="77" t="s">
        <v>13</v>
      </c>
      <c r="C54" s="349" t="s">
        <v>35</v>
      </c>
      <c r="D54" s="349"/>
      <c r="E54" s="349"/>
      <c r="F54" s="349"/>
      <c r="G54" s="349"/>
      <c r="H54" s="349"/>
      <c r="I54" s="56">
        <v>30</v>
      </c>
      <c r="J54" s="57">
        <v>0.05</v>
      </c>
      <c r="K54" s="52">
        <f>I54/30/12*J54</f>
        <v>4.1666666666666666E-3</v>
      </c>
      <c r="L54" s="29">
        <f t="shared" ref="L54:L59" si="0">ROUND(K54*$L$17,2)</f>
        <v>6.45</v>
      </c>
    </row>
    <row r="55" spans="2:12">
      <c r="B55" s="77" t="s">
        <v>15</v>
      </c>
      <c r="C55" s="349" t="s">
        <v>36</v>
      </c>
      <c r="D55" s="349"/>
      <c r="E55" s="349"/>
      <c r="F55" s="349"/>
      <c r="G55" s="349"/>
      <c r="H55" s="349"/>
      <c r="I55" s="349"/>
      <c r="J55" s="349"/>
      <c r="K55" s="52">
        <f>K31*K54</f>
        <v>3.703703703703703E-4</v>
      </c>
      <c r="L55" s="29">
        <f t="shared" si="0"/>
        <v>0.56999999999999995</v>
      </c>
    </row>
    <row r="56" spans="2:12">
      <c r="B56" s="110" t="s">
        <v>19</v>
      </c>
      <c r="C56" s="349" t="s">
        <v>194</v>
      </c>
      <c r="D56" s="349"/>
      <c r="E56" s="349"/>
      <c r="F56" s="349"/>
      <c r="G56" s="349"/>
      <c r="H56" s="349"/>
      <c r="I56" s="349"/>
      <c r="J56" s="349"/>
      <c r="K56" s="52">
        <f>0.5*K55</f>
        <v>1.8518518518518515E-4</v>
      </c>
      <c r="L56" s="29">
        <f t="shared" si="0"/>
        <v>0.28999999999999998</v>
      </c>
    </row>
    <row r="57" spans="2:12">
      <c r="B57" s="110" t="s">
        <v>21</v>
      </c>
      <c r="C57" s="349" t="s">
        <v>196</v>
      </c>
      <c r="D57" s="349"/>
      <c r="E57" s="349"/>
      <c r="F57" s="349"/>
      <c r="G57" s="349"/>
      <c r="H57" s="349"/>
      <c r="I57" s="349"/>
      <c r="J57" s="349"/>
      <c r="K57" s="52">
        <v>4.0000000000000002E-4</v>
      </c>
      <c r="L57" s="29">
        <f t="shared" si="0"/>
        <v>0.62</v>
      </c>
    </row>
    <row r="58" spans="2:12">
      <c r="B58" s="110" t="s">
        <v>23</v>
      </c>
      <c r="C58" s="349" t="s">
        <v>195</v>
      </c>
      <c r="D58" s="349"/>
      <c r="E58" s="349"/>
      <c r="F58" s="349"/>
      <c r="G58" s="349"/>
      <c r="H58" s="349"/>
      <c r="I58" s="349"/>
      <c r="J58" s="349"/>
      <c r="K58" s="52">
        <f>K34*K57</f>
        <v>1.5075555555555558E-4</v>
      </c>
      <c r="L58" s="29">
        <f t="shared" si="0"/>
        <v>0.23</v>
      </c>
    </row>
    <row r="59" spans="2:12">
      <c r="B59" s="110" t="s">
        <v>6</v>
      </c>
      <c r="C59" s="349" t="s">
        <v>197</v>
      </c>
      <c r="D59" s="349"/>
      <c r="E59" s="349"/>
      <c r="F59" s="349"/>
      <c r="G59" s="349"/>
      <c r="H59" s="349"/>
      <c r="I59" s="349"/>
      <c r="J59" s="349"/>
      <c r="K59" s="116">
        <f>0.5*0.08*K57</f>
        <v>1.6000000000000003E-5</v>
      </c>
      <c r="L59" s="29">
        <f t="shared" si="0"/>
        <v>0.02</v>
      </c>
    </row>
    <row r="60" spans="2:12" ht="15" customHeight="1">
      <c r="B60" s="355" t="s">
        <v>193</v>
      </c>
      <c r="C60" s="356"/>
      <c r="D60" s="356"/>
      <c r="E60" s="356"/>
      <c r="F60" s="356"/>
      <c r="G60" s="356"/>
      <c r="H60" s="356"/>
      <c r="I60" s="356"/>
      <c r="J60" s="357"/>
      <c r="K60" s="121"/>
      <c r="L60" s="122">
        <f>SUM(L54:L59)</f>
        <v>8.18</v>
      </c>
    </row>
    <row r="61" spans="2:12">
      <c r="B61" s="37"/>
      <c r="C61" s="33"/>
      <c r="D61" s="33"/>
      <c r="E61" s="37"/>
      <c r="F61" s="37"/>
      <c r="G61" s="37"/>
      <c r="H61" s="37"/>
      <c r="I61" s="38"/>
      <c r="J61" s="39"/>
      <c r="K61" s="37"/>
    </row>
    <row r="62" spans="2:12">
      <c r="B62" s="409" t="s">
        <v>198</v>
      </c>
      <c r="C62" s="409"/>
      <c r="D62" s="409"/>
      <c r="E62" s="409"/>
      <c r="F62" s="409"/>
      <c r="G62" s="409"/>
      <c r="H62" s="409"/>
      <c r="I62" s="409"/>
      <c r="J62" s="409"/>
      <c r="K62" s="117"/>
      <c r="L62" s="118"/>
    </row>
    <row r="63" spans="2:12">
      <c r="B63" s="407" t="s">
        <v>203</v>
      </c>
      <c r="C63" s="408"/>
      <c r="D63" s="408"/>
      <c r="E63" s="408"/>
      <c r="F63" s="408"/>
      <c r="G63" s="408"/>
      <c r="H63" s="408"/>
      <c r="I63" s="408"/>
      <c r="J63" s="408"/>
      <c r="K63" s="112" t="s">
        <v>18</v>
      </c>
      <c r="L63" s="29" t="s">
        <v>178</v>
      </c>
    </row>
    <row r="64" spans="2:12">
      <c r="B64" s="77" t="s">
        <v>13</v>
      </c>
      <c r="C64" s="384" t="s">
        <v>199</v>
      </c>
      <c r="D64" s="384"/>
      <c r="E64" s="384"/>
      <c r="F64" s="384"/>
      <c r="G64" s="384"/>
      <c r="H64" s="384"/>
      <c r="I64" s="384"/>
      <c r="J64" s="384"/>
      <c r="K64" s="59">
        <f>1/12</f>
        <v>8.3333333333333329E-2</v>
      </c>
      <c r="L64" s="29">
        <f>K64*$L$17</f>
        <v>128.92666666666665</v>
      </c>
    </row>
    <row r="65" spans="2:13">
      <c r="B65" s="77" t="s">
        <v>15</v>
      </c>
      <c r="C65" s="349" t="s">
        <v>200</v>
      </c>
      <c r="D65" s="349"/>
      <c r="E65" s="349"/>
      <c r="F65" s="349"/>
      <c r="G65" s="451" t="s">
        <v>38</v>
      </c>
      <c r="H65" s="451"/>
      <c r="I65" s="451"/>
      <c r="J65" s="60">
        <v>3</v>
      </c>
      <c r="K65" s="59">
        <f>J65/30/12</f>
        <v>8.3333333333333332E-3</v>
      </c>
      <c r="L65" s="29">
        <f>K65*$L$17</f>
        <v>12.892666666666665</v>
      </c>
      <c r="M65" s="18" t="s">
        <v>180</v>
      </c>
    </row>
    <row r="66" spans="2:13">
      <c r="B66" s="77" t="s">
        <v>19</v>
      </c>
      <c r="C66" s="349" t="s">
        <v>39</v>
      </c>
      <c r="D66" s="349"/>
      <c r="E66" s="349"/>
      <c r="F66" s="349"/>
      <c r="G66" s="451" t="s">
        <v>37</v>
      </c>
      <c r="H66" s="451"/>
      <c r="I66" s="54">
        <v>1.4999999999999999E-2</v>
      </c>
      <c r="J66" s="61">
        <v>5</v>
      </c>
      <c r="K66" s="59">
        <f>J66/30/12*I66</f>
        <v>2.0833333333333332E-4</v>
      </c>
      <c r="L66" s="29">
        <f t="shared" ref="L66:L69" si="1">K66*$L$17</f>
        <v>0.32231666666666664</v>
      </c>
    </row>
    <row r="67" spans="2:13">
      <c r="B67" s="77" t="s">
        <v>21</v>
      </c>
      <c r="C67" s="451" t="s">
        <v>201</v>
      </c>
      <c r="D67" s="451"/>
      <c r="E67" s="451"/>
      <c r="F67" s="60"/>
      <c r="G67" s="451" t="s">
        <v>37</v>
      </c>
      <c r="H67" s="451"/>
      <c r="I67" s="54">
        <v>7.7999999999999996E-3</v>
      </c>
      <c r="J67" s="62">
        <v>15</v>
      </c>
      <c r="K67" s="59">
        <f>J67/30/12*I67</f>
        <v>3.2499999999999999E-4</v>
      </c>
      <c r="L67" s="29">
        <f t="shared" si="1"/>
        <v>0.50281399999999998</v>
      </c>
    </row>
    <row r="68" spans="2:13">
      <c r="B68" s="77" t="s">
        <v>23</v>
      </c>
      <c r="C68" s="451" t="s">
        <v>202</v>
      </c>
      <c r="D68" s="451"/>
      <c r="E68" s="451"/>
      <c r="F68" s="60"/>
      <c r="G68" s="452"/>
      <c r="H68" s="451"/>
      <c r="I68" s="54"/>
      <c r="J68" s="62"/>
      <c r="K68" s="59">
        <v>6.1000000000000004E-3</v>
      </c>
      <c r="L68" s="29">
        <f t="shared" si="1"/>
        <v>9.4374319999999994</v>
      </c>
      <c r="M68" s="82" t="s">
        <v>180</v>
      </c>
    </row>
    <row r="69" spans="2:13">
      <c r="B69" s="77" t="s">
        <v>6</v>
      </c>
      <c r="C69" s="453" t="s">
        <v>3</v>
      </c>
      <c r="D69" s="453"/>
      <c r="E69" s="453" t="s">
        <v>40</v>
      </c>
      <c r="F69" s="453"/>
      <c r="G69" s="453"/>
      <c r="H69" s="453"/>
      <c r="I69" s="453"/>
      <c r="J69" s="453"/>
      <c r="K69" s="63"/>
      <c r="L69" s="29">
        <f t="shared" si="1"/>
        <v>0</v>
      </c>
      <c r="M69" s="82"/>
    </row>
    <row r="70" spans="2:13">
      <c r="B70" s="449" t="s">
        <v>204</v>
      </c>
      <c r="C70" s="348"/>
      <c r="D70" s="348"/>
      <c r="E70" s="348"/>
      <c r="F70" s="348"/>
      <c r="G70" s="348"/>
      <c r="H70" s="348"/>
      <c r="I70" s="348"/>
      <c r="J70" s="450"/>
      <c r="K70" s="64"/>
      <c r="L70" s="29">
        <f>SUM(L64:L69)</f>
        <v>152.08189599999997</v>
      </c>
    </row>
    <row r="71" spans="2:13">
      <c r="B71" s="113"/>
      <c r="C71" s="114"/>
      <c r="D71" s="114"/>
      <c r="E71" s="114"/>
      <c r="F71" s="114"/>
      <c r="G71" s="114"/>
      <c r="H71" s="114"/>
      <c r="I71" s="114"/>
      <c r="J71" s="115"/>
      <c r="K71" s="52"/>
      <c r="L71" s="29"/>
    </row>
    <row r="72" spans="2:13">
      <c r="B72" s="407" t="s">
        <v>205</v>
      </c>
      <c r="C72" s="408"/>
      <c r="D72" s="408"/>
      <c r="E72" s="408"/>
      <c r="F72" s="408"/>
      <c r="G72" s="408"/>
      <c r="H72" s="408"/>
      <c r="I72" s="408"/>
      <c r="J72" s="408"/>
      <c r="K72" s="112" t="s">
        <v>18</v>
      </c>
      <c r="L72" s="29" t="s">
        <v>178</v>
      </c>
    </row>
    <row r="73" spans="2:13">
      <c r="B73" s="110" t="s">
        <v>13</v>
      </c>
      <c r="C73" s="384" t="s">
        <v>206</v>
      </c>
      <c r="D73" s="384"/>
      <c r="E73" s="384"/>
      <c r="F73" s="384"/>
      <c r="G73" s="384"/>
      <c r="H73" s="384"/>
      <c r="I73" s="384"/>
      <c r="J73" s="384"/>
      <c r="K73" s="59">
        <v>0</v>
      </c>
      <c r="L73" s="29">
        <f>K73*$L$17</f>
        <v>0</v>
      </c>
    </row>
    <row r="74" spans="2:13">
      <c r="B74" s="449" t="s">
        <v>207</v>
      </c>
      <c r="C74" s="348"/>
      <c r="D74" s="348"/>
      <c r="E74" s="348"/>
      <c r="F74" s="348"/>
      <c r="G74" s="348"/>
      <c r="H74" s="348"/>
      <c r="I74" s="348"/>
      <c r="J74" s="450"/>
      <c r="K74" s="64"/>
      <c r="L74" s="29">
        <f>SUM(L73:L73)</f>
        <v>0</v>
      </c>
    </row>
    <row r="75" spans="2:13">
      <c r="B75" s="113"/>
      <c r="C75" s="114"/>
      <c r="D75" s="114"/>
      <c r="E75" s="114"/>
      <c r="F75" s="114"/>
      <c r="G75" s="114"/>
      <c r="H75" s="114"/>
      <c r="I75" s="114"/>
      <c r="J75" s="114"/>
      <c r="K75" s="119"/>
      <c r="L75" s="29"/>
    </row>
    <row r="76" spans="2:13">
      <c r="B76" s="393" t="s">
        <v>208</v>
      </c>
      <c r="C76" s="393"/>
      <c r="D76" s="393"/>
      <c r="E76" s="393"/>
      <c r="F76" s="393"/>
      <c r="G76" s="393"/>
      <c r="H76" s="393"/>
      <c r="I76" s="393"/>
      <c r="J76" s="393"/>
      <c r="K76" s="393"/>
      <c r="L76" s="24">
        <f>L34</f>
        <v>598.36</v>
      </c>
    </row>
    <row r="77" spans="2:13">
      <c r="B77" s="110" t="s">
        <v>209</v>
      </c>
      <c r="C77" s="367" t="s">
        <v>200</v>
      </c>
      <c r="D77" s="368"/>
      <c r="E77" s="368"/>
      <c r="F77" s="368"/>
      <c r="G77" s="368"/>
      <c r="H77" s="368"/>
      <c r="I77" s="368"/>
      <c r="J77" s="369"/>
      <c r="K77" s="100"/>
      <c r="L77" s="29">
        <f>L70</f>
        <v>152.08189599999997</v>
      </c>
    </row>
    <row r="78" spans="2:13">
      <c r="B78" s="110" t="s">
        <v>210</v>
      </c>
      <c r="C78" s="367" t="s">
        <v>211</v>
      </c>
      <c r="D78" s="368"/>
      <c r="E78" s="368"/>
      <c r="F78" s="368"/>
      <c r="G78" s="368"/>
      <c r="H78" s="368"/>
      <c r="I78" s="368"/>
      <c r="J78" s="369"/>
      <c r="K78" s="100"/>
      <c r="L78" s="29">
        <f>L74</f>
        <v>0</v>
      </c>
    </row>
    <row r="79" spans="2:13">
      <c r="B79" s="355" t="s">
        <v>212</v>
      </c>
      <c r="C79" s="356"/>
      <c r="D79" s="356"/>
      <c r="E79" s="356"/>
      <c r="F79" s="356"/>
      <c r="G79" s="356"/>
      <c r="H79" s="356"/>
      <c r="I79" s="356"/>
      <c r="J79" s="357"/>
      <c r="K79" s="121"/>
      <c r="L79" s="122">
        <f>SUM(L77:L78)</f>
        <v>152.08189599999997</v>
      </c>
    </row>
    <row r="80" spans="2:13">
      <c r="B80" s="350"/>
      <c r="C80" s="351"/>
      <c r="D80" s="351"/>
      <c r="E80" s="351"/>
      <c r="F80" s="351"/>
      <c r="G80" s="351"/>
      <c r="H80" s="351"/>
      <c r="I80" s="351"/>
      <c r="J80" s="351"/>
      <c r="K80" s="351"/>
      <c r="L80" s="351"/>
    </row>
    <row r="81" spans="2:13">
      <c r="B81" s="409" t="s">
        <v>213</v>
      </c>
      <c r="C81" s="409"/>
      <c r="D81" s="409"/>
      <c r="E81" s="409"/>
      <c r="F81" s="409"/>
      <c r="G81" s="409"/>
      <c r="H81" s="409"/>
      <c r="I81" s="409"/>
      <c r="J81" s="409"/>
      <c r="K81" s="117"/>
      <c r="L81" s="118"/>
      <c r="M81" s="40"/>
    </row>
    <row r="82" spans="2:13">
      <c r="B82" s="77" t="s">
        <v>13</v>
      </c>
      <c r="C82" s="427" t="s">
        <v>66</v>
      </c>
      <c r="D82" s="427"/>
      <c r="E82" s="427"/>
      <c r="F82" s="427"/>
      <c r="G82" s="427"/>
      <c r="H82" s="427"/>
      <c r="I82" s="427"/>
      <c r="J82" s="427"/>
      <c r="K82" s="427"/>
      <c r="L82" s="29">
        <f>'Benef. e Insumos'!H54</f>
        <v>89.157499999999999</v>
      </c>
    </row>
    <row r="83" spans="2:13">
      <c r="B83" s="77" t="s">
        <v>15</v>
      </c>
      <c r="C83" s="374" t="s">
        <v>215</v>
      </c>
      <c r="D83" s="426"/>
      <c r="E83" s="441" t="s">
        <v>67</v>
      </c>
      <c r="F83" s="442"/>
      <c r="G83" s="442"/>
      <c r="H83" s="442"/>
      <c r="I83" s="443"/>
      <c r="J83" s="462">
        <v>0.12</v>
      </c>
      <c r="K83" s="463"/>
      <c r="L83" s="36" t="e">
        <f>(L17+L51+L60+L79+L82)/(1-J83)*J83</f>
        <v>#REF!</v>
      </c>
      <c r="M83" s="41"/>
    </row>
    <row r="84" spans="2:13">
      <c r="B84" s="111" t="s">
        <v>222</v>
      </c>
      <c r="C84" s="374" t="s">
        <v>223</v>
      </c>
      <c r="D84" s="426"/>
      <c r="E84" s="441"/>
      <c r="F84" s="442"/>
      <c r="G84" s="442"/>
      <c r="H84" s="442"/>
      <c r="I84" s="443"/>
      <c r="J84" s="444">
        <f>H95+H96</f>
        <v>9.2499999999999999E-2</v>
      </c>
      <c r="K84" s="445"/>
      <c r="L84" s="36" t="e">
        <f>-J84*L83</f>
        <v>#REF!</v>
      </c>
      <c r="M84" s="41"/>
    </row>
    <row r="85" spans="2:13">
      <c r="B85" s="110" t="s">
        <v>19</v>
      </c>
      <c r="C85" s="103" t="s">
        <v>214</v>
      </c>
      <c r="D85" s="104"/>
      <c r="E85" s="105"/>
      <c r="F85" s="106"/>
      <c r="G85" s="106"/>
      <c r="H85" s="106"/>
      <c r="I85" s="107"/>
      <c r="J85" s="108"/>
      <c r="K85" s="109"/>
      <c r="L85" s="36"/>
      <c r="M85" s="41"/>
    </row>
    <row r="86" spans="2:13">
      <c r="B86" s="77" t="s">
        <v>216</v>
      </c>
      <c r="C86" s="453" t="s">
        <v>3</v>
      </c>
      <c r="D86" s="453"/>
      <c r="E86" s="453"/>
      <c r="F86" s="453"/>
      <c r="G86" s="453"/>
      <c r="H86" s="453"/>
      <c r="I86" s="453"/>
      <c r="J86" s="453"/>
      <c r="K86" s="453"/>
      <c r="L86" s="36">
        <v>0</v>
      </c>
    </row>
    <row r="87" spans="2:13">
      <c r="B87" s="355" t="s">
        <v>219</v>
      </c>
      <c r="C87" s="356"/>
      <c r="D87" s="356"/>
      <c r="E87" s="356"/>
      <c r="F87" s="356"/>
      <c r="G87" s="356"/>
      <c r="H87" s="356"/>
      <c r="I87" s="356"/>
      <c r="J87" s="357"/>
      <c r="K87" s="121"/>
      <c r="L87" s="122" t="e">
        <f>SUM(L82:L86)</f>
        <v>#REF!</v>
      </c>
    </row>
    <row r="88" spans="2:13">
      <c r="B88" s="42"/>
      <c r="C88" s="42"/>
      <c r="D88" s="42"/>
      <c r="E88" s="42"/>
      <c r="F88" s="42"/>
      <c r="G88" s="42"/>
      <c r="H88" s="42"/>
      <c r="I88" s="55"/>
      <c r="J88" s="42"/>
      <c r="K88" s="42"/>
    </row>
    <row r="89" spans="2:13">
      <c r="B89" s="33"/>
      <c r="C89" s="33"/>
      <c r="D89" s="33"/>
      <c r="E89" s="33"/>
      <c r="F89" s="33"/>
      <c r="G89" s="33"/>
      <c r="H89" s="66"/>
      <c r="I89" s="66"/>
      <c r="J89" s="66"/>
      <c r="K89" s="66"/>
      <c r="L89" s="67"/>
    </row>
    <row r="90" spans="2:13">
      <c r="B90" s="409" t="s">
        <v>217</v>
      </c>
      <c r="C90" s="409"/>
      <c r="D90" s="409"/>
      <c r="E90" s="409"/>
      <c r="F90" s="409"/>
      <c r="G90" s="409"/>
      <c r="H90" s="409"/>
      <c r="I90" s="409"/>
      <c r="J90" s="409"/>
      <c r="K90" s="117"/>
      <c r="L90" s="118" t="str">
        <f>L5</f>
        <v>SERVENTE</v>
      </c>
    </row>
    <row r="91" spans="2:13">
      <c r="B91" s="77" t="s">
        <v>13</v>
      </c>
      <c r="C91" s="384" t="s">
        <v>218</v>
      </c>
      <c r="D91" s="384"/>
      <c r="E91" s="384"/>
      <c r="F91" s="384"/>
      <c r="G91" s="384"/>
      <c r="H91" s="384"/>
      <c r="I91" s="384"/>
      <c r="J91" s="384"/>
      <c r="K91" s="83">
        <v>0.05</v>
      </c>
      <c r="L91" s="45" t="e">
        <f>K91*L110</f>
        <v>#REF!</v>
      </c>
      <c r="M91" s="68"/>
    </row>
    <row r="92" spans="2:13">
      <c r="B92" s="77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3">
        <v>6.8099999999999994E-2</v>
      </c>
      <c r="L92" s="45" t="e">
        <f>K92*L110</f>
        <v>#REF!</v>
      </c>
      <c r="M92" s="68"/>
    </row>
    <row r="93" spans="2:13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 t="e">
        <f>L110+L91+L92</f>
        <v>#REF!</v>
      </c>
      <c r="K93" s="366"/>
      <c r="L93" s="65"/>
    </row>
    <row r="94" spans="2:13">
      <c r="B94" s="361"/>
      <c r="C94" s="447" t="s">
        <v>43</v>
      </c>
      <c r="D94" s="410"/>
      <c r="E94" s="410"/>
      <c r="F94" s="448"/>
      <c r="G94" s="58"/>
      <c r="H94" s="58" t="s">
        <v>44</v>
      </c>
      <c r="I94" s="58"/>
      <c r="J94" s="370"/>
      <c r="K94" s="371"/>
      <c r="L94" s="65"/>
    </row>
    <row r="95" spans="2:13">
      <c r="B95" s="361"/>
      <c r="C95" s="446" t="s">
        <v>45</v>
      </c>
      <c r="D95" s="446"/>
      <c r="E95" s="446"/>
      <c r="F95" s="446"/>
      <c r="G95" s="84" t="s">
        <v>46</v>
      </c>
      <c r="H95" s="53">
        <v>1.6500000000000001E-2</v>
      </c>
      <c r="I95" s="372">
        <f>SUM(H95:H100)</f>
        <v>0.13250000000000001</v>
      </c>
      <c r="J95" s="359" t="e">
        <f>ROUND($L$112*H95,2)</f>
        <v>#REF!</v>
      </c>
      <c r="K95" s="360"/>
      <c r="L95" s="423" t="e">
        <f>SUM(J95:K100)</f>
        <v>#REF!</v>
      </c>
    </row>
    <row r="96" spans="2:13">
      <c r="B96" s="361"/>
      <c r="C96" s="446"/>
      <c r="D96" s="446"/>
      <c r="E96" s="446"/>
      <c r="F96" s="446"/>
      <c r="G96" s="84" t="s">
        <v>47</v>
      </c>
      <c r="H96" s="53">
        <v>7.5999999999999998E-2</v>
      </c>
      <c r="I96" s="372"/>
      <c r="J96" s="359" t="e">
        <f t="shared" ref="J96:J100" si="2">ROUND($L$112*H96,2)</f>
        <v>#REF!</v>
      </c>
      <c r="K96" s="360"/>
      <c r="L96" s="424"/>
    </row>
    <row r="97" spans="2:12">
      <c r="B97" s="361"/>
      <c r="C97" s="446"/>
      <c r="D97" s="446"/>
      <c r="E97" s="446"/>
      <c r="F97" s="446"/>
      <c r="G97" s="84" t="s">
        <v>48</v>
      </c>
      <c r="H97" s="53">
        <v>0</v>
      </c>
      <c r="I97" s="372"/>
      <c r="J97" s="359" t="e">
        <f t="shared" si="2"/>
        <v>#REF!</v>
      </c>
      <c r="K97" s="360"/>
      <c r="L97" s="424"/>
    </row>
    <row r="98" spans="2:12">
      <c r="B98" s="361"/>
      <c r="C98" s="446" t="s">
        <v>49</v>
      </c>
      <c r="D98" s="446"/>
      <c r="E98" s="446"/>
      <c r="F98" s="446"/>
      <c r="G98" s="85" t="s">
        <v>50</v>
      </c>
      <c r="H98" s="53">
        <v>0.04</v>
      </c>
      <c r="I98" s="372"/>
      <c r="J98" s="359" t="e">
        <f t="shared" si="2"/>
        <v>#REF!</v>
      </c>
      <c r="K98" s="360"/>
      <c r="L98" s="424"/>
    </row>
    <row r="99" spans="2:12">
      <c r="B99" s="361"/>
      <c r="C99" s="446"/>
      <c r="D99" s="446"/>
      <c r="E99" s="446"/>
      <c r="F99" s="446"/>
      <c r="G99" s="85" t="s">
        <v>48</v>
      </c>
      <c r="H99" s="53">
        <v>0</v>
      </c>
      <c r="I99" s="372"/>
      <c r="J99" s="359" t="e">
        <f t="shared" si="2"/>
        <v>#REF!</v>
      </c>
      <c r="K99" s="360"/>
      <c r="L99" s="424"/>
    </row>
    <row r="100" spans="2:12">
      <c r="B100" s="361"/>
      <c r="C100" s="446" t="s">
        <v>51</v>
      </c>
      <c r="D100" s="446"/>
      <c r="E100" s="446"/>
      <c r="F100" s="446"/>
      <c r="G100" s="85"/>
      <c r="H100" s="53">
        <v>0</v>
      </c>
      <c r="I100" s="372"/>
      <c r="J100" s="359" t="e">
        <f t="shared" si="2"/>
        <v>#REF!</v>
      </c>
      <c r="K100" s="360"/>
      <c r="L100" s="425"/>
    </row>
    <row r="101" spans="2:12">
      <c r="B101" s="361" t="s">
        <v>52</v>
      </c>
      <c r="C101" s="361"/>
      <c r="D101" s="361"/>
      <c r="E101" s="361"/>
      <c r="F101" s="361"/>
      <c r="G101" s="361"/>
      <c r="H101" s="361"/>
      <c r="I101" s="361"/>
      <c r="J101" s="361"/>
      <c r="K101" s="361"/>
      <c r="L101" s="78" t="e">
        <f>L95+L92+L91</f>
        <v>#REF!</v>
      </c>
    </row>
    <row r="102" spans="2:12">
      <c r="B102" s="69"/>
      <c r="C102" s="69"/>
      <c r="D102" s="69"/>
      <c r="E102" s="69"/>
      <c r="F102" s="69"/>
      <c r="G102" s="69"/>
      <c r="H102" s="69"/>
      <c r="I102" s="70"/>
      <c r="J102" s="71"/>
      <c r="K102" s="69"/>
    </row>
    <row r="103" spans="2:12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2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4" t="str">
        <f>L5</f>
        <v>SERVENTE</v>
      </c>
    </row>
    <row r="105" spans="2:12">
      <c r="B105" s="77" t="s">
        <v>13</v>
      </c>
      <c r="C105" s="384" t="str">
        <f>B6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2">
        <f>L17</f>
        <v>1547.12</v>
      </c>
    </row>
    <row r="106" spans="2:12">
      <c r="B106" s="77" t="s">
        <v>15</v>
      </c>
      <c r="C106" s="384" t="str">
        <f>B19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2" t="e">
        <f>L51</f>
        <v>#REF!</v>
      </c>
    </row>
    <row r="107" spans="2:12">
      <c r="B107" s="77" t="s">
        <v>19</v>
      </c>
      <c r="C107" s="384" t="str">
        <f>B53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2">
        <f>L60</f>
        <v>8.18</v>
      </c>
    </row>
    <row r="108" spans="2:12">
      <c r="B108" s="77" t="s">
        <v>21</v>
      </c>
      <c r="C108" s="384" t="str">
        <f>B62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2">
        <f>L79</f>
        <v>152.08189599999997</v>
      </c>
    </row>
    <row r="109" spans="2:12">
      <c r="B109" s="110" t="s">
        <v>23</v>
      </c>
      <c r="C109" s="384" t="str">
        <f>B81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2" t="e">
        <f>L87</f>
        <v>#REF!</v>
      </c>
    </row>
    <row r="110" spans="2:12">
      <c r="B110" s="395" t="s">
        <v>221</v>
      </c>
      <c r="C110" s="395"/>
      <c r="D110" s="395"/>
      <c r="E110" s="395"/>
      <c r="F110" s="395"/>
      <c r="G110" s="395"/>
      <c r="H110" s="395"/>
      <c r="I110" s="395"/>
      <c r="J110" s="395"/>
      <c r="K110" s="395"/>
      <c r="L110" s="79" t="e">
        <f>SUM(L105:L109)</f>
        <v>#REF!</v>
      </c>
    </row>
    <row r="111" spans="2:12">
      <c r="B111" s="77" t="s">
        <v>23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3" t="e">
        <f>L112-L110</f>
        <v>#REF!</v>
      </c>
    </row>
    <row r="112" spans="2:12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80" t="e">
        <f>ROUND(J93/(1-$I$95),2)</f>
        <v>#REF!</v>
      </c>
    </row>
    <row r="113" spans="6:12">
      <c r="K113" s="68"/>
    </row>
    <row r="115" spans="6:12">
      <c r="F115" s="390" t="s">
        <v>57</v>
      </c>
      <c r="G115" s="391"/>
      <c r="H115" s="391"/>
      <c r="I115" s="392"/>
      <c r="J115" s="18"/>
      <c r="L115" s="18"/>
    </row>
    <row r="116" spans="6:12">
      <c r="F116" s="390" t="s">
        <v>58</v>
      </c>
      <c r="G116" s="391"/>
      <c r="H116" s="392"/>
      <c r="I116" s="74" t="s">
        <v>18</v>
      </c>
      <c r="J116" s="18"/>
      <c r="L116" s="18"/>
    </row>
    <row r="117" spans="6:12">
      <c r="F117" s="75" t="s">
        <v>59</v>
      </c>
      <c r="G117" s="75"/>
      <c r="H117" s="76"/>
      <c r="I117" s="76">
        <f>K91</f>
        <v>0.05</v>
      </c>
      <c r="J117" s="18"/>
      <c r="L117" s="18"/>
    </row>
    <row r="118" spans="6:12">
      <c r="F118" s="378" t="s">
        <v>41</v>
      </c>
      <c r="G118" s="379"/>
      <c r="H118" s="380"/>
      <c r="I118" s="76">
        <f>K92</f>
        <v>6.8099999999999994E-2</v>
      </c>
      <c r="J118" s="18"/>
      <c r="L118" s="18"/>
    </row>
    <row r="119" spans="6:12">
      <c r="F119" s="75" t="s">
        <v>60</v>
      </c>
      <c r="G119" s="75"/>
      <c r="H119" s="76"/>
      <c r="I119" s="76">
        <f>I95</f>
        <v>0.13250000000000001</v>
      </c>
      <c r="J119" s="18"/>
      <c r="L119" s="18"/>
    </row>
    <row r="120" spans="6:12">
      <c r="F120" s="381" t="s">
        <v>61</v>
      </c>
      <c r="G120" s="382"/>
      <c r="H120" s="383"/>
      <c r="I120" s="76">
        <f>(1+I117)*(1+I118)/(1-I119)-1</f>
        <v>0.29280115273775253</v>
      </c>
      <c r="J120" s="18"/>
      <c r="L120" s="18"/>
    </row>
  </sheetData>
  <mergeCells count="126"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</mergeCells>
  <pageMargins left="0.511811024" right="0.511811024" top="0.78740157499999996" bottom="0.78740157499999996" header="0.31496062000000002" footer="0.31496062000000002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8" customWidth="1"/>
    <col min="2" max="2" width="4.5703125" style="18" customWidth="1"/>
    <col min="3" max="3" width="9" style="18" customWidth="1"/>
    <col min="4" max="4" width="25" style="18" customWidth="1"/>
    <col min="5" max="5" width="4.7109375" style="18" bestFit="1" customWidth="1"/>
    <col min="6" max="6" width="9" style="18" bestFit="1" customWidth="1"/>
    <col min="7" max="7" width="10.42578125" style="18" customWidth="1"/>
    <col min="8" max="8" width="10.7109375" style="18" customWidth="1"/>
    <col min="9" max="9" width="16.7109375" style="50" customWidth="1"/>
    <col min="10" max="10" width="9" style="51" bestFit="1" customWidth="1"/>
    <col min="11" max="11" width="9.140625" style="18" bestFit="1" customWidth="1"/>
    <col min="12" max="12" width="12.7109375" style="35" bestFit="1" customWidth="1"/>
    <col min="13" max="13" width="13.28515625" style="18" bestFit="1" customWidth="1"/>
    <col min="14" max="16384" width="11.85546875" style="18"/>
  </cols>
  <sheetData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9" customFormat="1">
      <c r="B3" s="456" t="e">
        <f>#REF!</f>
        <v>#REF!</v>
      </c>
      <c r="C3" s="457"/>
      <c r="D3" s="457"/>
      <c r="E3" s="457"/>
      <c r="F3" s="457"/>
      <c r="G3" s="457"/>
      <c r="H3" s="457"/>
      <c r="I3" s="457"/>
      <c r="J3" s="457"/>
      <c r="K3" s="457"/>
      <c r="L3" s="458"/>
    </row>
    <row r="4" spans="2:13" s="19" customFormat="1">
      <c r="B4" s="459"/>
      <c r="C4" s="460"/>
      <c r="D4" s="460"/>
      <c r="E4" s="460"/>
      <c r="F4" s="460"/>
      <c r="G4" s="460"/>
      <c r="H4" s="460"/>
      <c r="I4" s="460"/>
      <c r="J4" s="460"/>
      <c r="K4" s="460"/>
      <c r="L4" s="461"/>
    </row>
    <row r="5" spans="2:13">
      <c r="B5" s="20"/>
      <c r="C5" s="21"/>
      <c r="D5" s="21"/>
      <c r="E5" s="21"/>
      <c r="F5" s="21"/>
      <c r="G5" s="21"/>
      <c r="H5" s="21"/>
      <c r="I5" s="22"/>
      <c r="J5" s="21"/>
      <c r="K5" s="23"/>
      <c r="L5" s="24" t="s">
        <v>62</v>
      </c>
    </row>
    <row r="6" spans="2:13">
      <c r="B6" s="409" t="s">
        <v>12</v>
      </c>
      <c r="C6" s="409"/>
      <c r="D6" s="409"/>
      <c r="E6" s="409"/>
      <c r="F6" s="409"/>
      <c r="G6" s="409"/>
      <c r="H6" s="409"/>
      <c r="I6" s="409"/>
      <c r="J6" s="409"/>
      <c r="K6" s="409"/>
      <c r="L6" s="409"/>
    </row>
    <row r="7" spans="2:13">
      <c r="B7" s="77" t="s">
        <v>13</v>
      </c>
      <c r="C7" s="384" t="s">
        <v>14</v>
      </c>
      <c r="D7" s="384"/>
      <c r="E7" s="384"/>
      <c r="F7" s="384"/>
      <c r="G7" s="384"/>
      <c r="H7" s="384"/>
      <c r="I7" s="384"/>
      <c r="J7" s="384"/>
      <c r="K7" s="384"/>
      <c r="L7" s="26">
        <f>'Benef. e Insumos'!E10</f>
        <v>1547.12</v>
      </c>
    </row>
    <row r="8" spans="2:13">
      <c r="B8" s="99" t="s">
        <v>166</v>
      </c>
      <c r="C8" s="384" t="s">
        <v>167</v>
      </c>
      <c r="D8" s="384"/>
      <c r="E8" s="384"/>
      <c r="F8" s="384"/>
      <c r="G8" s="384"/>
      <c r="H8" s="384"/>
      <c r="I8" s="384"/>
      <c r="J8" s="384"/>
      <c r="K8" s="384"/>
      <c r="L8" s="26"/>
    </row>
    <row r="9" spans="2:13">
      <c r="B9" s="77" t="s">
        <v>15</v>
      </c>
      <c r="C9" s="384" t="s">
        <v>16</v>
      </c>
      <c r="D9" s="384"/>
      <c r="E9" s="384"/>
      <c r="F9" s="349" t="s">
        <v>17</v>
      </c>
      <c r="G9" s="349"/>
      <c r="H9" s="349"/>
      <c r="I9" s="349"/>
      <c r="J9" s="27" t="s">
        <v>18</v>
      </c>
      <c r="K9" s="28">
        <v>0</v>
      </c>
      <c r="L9" s="29">
        <v>0</v>
      </c>
      <c r="M9" s="30"/>
    </row>
    <row r="10" spans="2:13">
      <c r="B10" s="110" t="s">
        <v>19</v>
      </c>
      <c r="C10" s="367" t="s">
        <v>172</v>
      </c>
      <c r="D10" s="368"/>
      <c r="E10" s="368"/>
      <c r="F10" s="368"/>
      <c r="G10" s="368"/>
      <c r="H10" s="368"/>
      <c r="I10" s="369"/>
      <c r="J10" s="27" t="s">
        <v>18</v>
      </c>
      <c r="K10" s="28">
        <v>0</v>
      </c>
      <c r="L10" s="29">
        <v>0</v>
      </c>
      <c r="M10" s="30"/>
    </row>
    <row r="11" spans="2:13">
      <c r="B11" s="110" t="s">
        <v>21</v>
      </c>
      <c r="C11" s="367" t="s">
        <v>169</v>
      </c>
      <c r="D11" s="368"/>
      <c r="E11" s="368"/>
      <c r="F11" s="368"/>
      <c r="G11" s="368"/>
      <c r="H11" s="368"/>
      <c r="I11" s="369"/>
      <c r="J11" s="27" t="s">
        <v>18</v>
      </c>
      <c r="K11" s="28">
        <v>0</v>
      </c>
      <c r="L11" s="29">
        <v>0</v>
      </c>
      <c r="M11" s="30"/>
    </row>
    <row r="12" spans="2:13">
      <c r="B12" s="110" t="s">
        <v>23</v>
      </c>
      <c r="C12" s="367" t="s">
        <v>170</v>
      </c>
      <c r="D12" s="368"/>
      <c r="E12" s="368"/>
      <c r="F12" s="368"/>
      <c r="G12" s="368"/>
      <c r="H12" s="368"/>
      <c r="I12" s="369"/>
      <c r="J12" s="27" t="s">
        <v>18</v>
      </c>
      <c r="K12" s="28">
        <v>0</v>
      </c>
      <c r="L12" s="29">
        <v>0</v>
      </c>
      <c r="M12" s="30"/>
    </row>
    <row r="13" spans="2:13">
      <c r="B13" s="110" t="s">
        <v>6</v>
      </c>
      <c r="C13" s="367" t="s">
        <v>171</v>
      </c>
      <c r="D13" s="368"/>
      <c r="E13" s="368"/>
      <c r="F13" s="368"/>
      <c r="G13" s="368"/>
      <c r="H13" s="368"/>
      <c r="I13" s="369"/>
      <c r="J13" s="27" t="s">
        <v>18</v>
      </c>
      <c r="K13" s="28">
        <v>0</v>
      </c>
      <c r="L13" s="29">
        <v>0</v>
      </c>
      <c r="M13" s="30"/>
    </row>
    <row r="14" spans="2:13">
      <c r="B14" s="110" t="s">
        <v>24</v>
      </c>
      <c r="C14" s="399" t="s">
        <v>20</v>
      </c>
      <c r="D14" s="399"/>
      <c r="E14" s="399"/>
      <c r="F14" s="399"/>
      <c r="G14" s="399"/>
      <c r="H14" s="399"/>
      <c r="I14" s="399"/>
      <c r="J14" s="27" t="s">
        <v>18</v>
      </c>
      <c r="K14" s="31">
        <v>0</v>
      </c>
      <c r="L14" s="29">
        <v>0</v>
      </c>
      <c r="M14" s="30"/>
    </row>
    <row r="15" spans="2:13">
      <c r="B15" s="110" t="s">
        <v>25</v>
      </c>
      <c r="C15" s="416" t="s">
        <v>22</v>
      </c>
      <c r="D15" s="416"/>
      <c r="E15" s="416"/>
      <c r="F15" s="416"/>
      <c r="G15" s="416"/>
      <c r="H15" s="416"/>
      <c r="I15" s="416"/>
      <c r="J15" s="416"/>
      <c r="K15" s="416"/>
      <c r="L15" s="29">
        <v>0</v>
      </c>
      <c r="M15" s="30"/>
    </row>
    <row r="16" spans="2:13">
      <c r="B16" s="110" t="s">
        <v>168</v>
      </c>
      <c r="C16" s="453" t="s">
        <v>3</v>
      </c>
      <c r="D16" s="453"/>
      <c r="E16" s="453"/>
      <c r="F16" s="453"/>
      <c r="G16" s="453"/>
      <c r="H16" s="453"/>
      <c r="I16" s="453"/>
      <c r="J16" s="453"/>
      <c r="K16" s="453"/>
      <c r="L16" s="29"/>
      <c r="M16" s="30"/>
    </row>
    <row r="17" spans="2:13">
      <c r="B17" s="417" t="s">
        <v>220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120">
        <f>SUM(L7:L16)</f>
        <v>1547.12</v>
      </c>
      <c r="M17" s="32"/>
    </row>
    <row r="18" spans="2:13">
      <c r="B18" s="33"/>
      <c r="C18" s="33"/>
      <c r="D18" s="33"/>
      <c r="E18" s="33"/>
      <c r="F18" s="33"/>
      <c r="G18" s="33"/>
      <c r="H18" s="33"/>
      <c r="I18" s="34"/>
      <c r="J18" s="33"/>
      <c r="K18" s="33"/>
    </row>
    <row r="19" spans="2:13">
      <c r="B19" s="409" t="s">
        <v>173</v>
      </c>
      <c r="C19" s="409"/>
      <c r="D19" s="409"/>
      <c r="E19" s="409"/>
      <c r="F19" s="409"/>
      <c r="G19" s="409"/>
      <c r="H19" s="409"/>
      <c r="I19" s="409"/>
      <c r="J19" s="409"/>
      <c r="K19" s="409"/>
      <c r="L19" s="24" t="str">
        <f>L5</f>
        <v>SERVENTE</v>
      </c>
    </row>
    <row r="20" spans="2:13">
      <c r="B20" s="407" t="s">
        <v>174</v>
      </c>
      <c r="C20" s="408"/>
      <c r="D20" s="408"/>
      <c r="E20" s="408"/>
      <c r="F20" s="408"/>
      <c r="G20" s="408"/>
      <c r="H20" s="408"/>
      <c r="I20" s="408"/>
      <c r="J20" s="408"/>
      <c r="K20" s="112" t="s">
        <v>18</v>
      </c>
      <c r="L20" s="29" t="s">
        <v>178</v>
      </c>
    </row>
    <row r="21" spans="2:13">
      <c r="B21" s="110" t="s">
        <v>13</v>
      </c>
      <c r="C21" s="367" t="s">
        <v>175</v>
      </c>
      <c r="D21" s="368"/>
      <c r="E21" s="368"/>
      <c r="F21" s="368"/>
      <c r="G21" s="368"/>
      <c r="H21" s="368"/>
      <c r="I21" s="368"/>
      <c r="J21" s="369"/>
      <c r="K21" s="52">
        <v>8.3299999999999999E-2</v>
      </c>
      <c r="L21" s="29">
        <f>K21*L17</f>
        <v>128.87509599999998</v>
      </c>
    </row>
    <row r="22" spans="2:13">
      <c r="B22" s="110" t="s">
        <v>15</v>
      </c>
      <c r="C22" s="367" t="s">
        <v>176</v>
      </c>
      <c r="D22" s="368"/>
      <c r="E22" s="368"/>
      <c r="F22" s="368"/>
      <c r="G22" s="368"/>
      <c r="H22" s="368"/>
      <c r="I22" s="368"/>
      <c r="J22" s="369"/>
      <c r="K22" s="52">
        <v>2.7799999999999998E-2</v>
      </c>
      <c r="L22" s="29">
        <f>K22*L17</f>
        <v>43.009935999999996</v>
      </c>
    </row>
    <row r="23" spans="2:13">
      <c r="B23" s="449" t="s">
        <v>177</v>
      </c>
      <c r="C23" s="348"/>
      <c r="D23" s="348"/>
      <c r="E23" s="348"/>
      <c r="F23" s="348"/>
      <c r="G23" s="348"/>
      <c r="H23" s="348"/>
      <c r="I23" s="348"/>
      <c r="J23" s="450"/>
      <c r="K23" s="52">
        <f>SUM(K21:K22)</f>
        <v>0.1111</v>
      </c>
      <c r="L23" s="29">
        <f>SUM(L21:L22)</f>
        <v>171.88503199999997</v>
      </c>
    </row>
    <row r="24" spans="2:13">
      <c r="B24" s="113"/>
      <c r="C24" s="114"/>
      <c r="D24" s="114"/>
      <c r="E24" s="114"/>
      <c r="F24" s="114"/>
      <c r="G24" s="114"/>
      <c r="H24" s="114"/>
      <c r="I24" s="114"/>
      <c r="J24" s="115"/>
      <c r="K24" s="52"/>
      <c r="L24" s="29"/>
    </row>
    <row r="25" spans="2:13">
      <c r="B25" s="407" t="s">
        <v>179</v>
      </c>
      <c r="C25" s="408"/>
      <c r="D25" s="408"/>
      <c r="E25" s="408"/>
      <c r="F25" s="408"/>
      <c r="G25" s="408"/>
      <c r="H25" s="408"/>
      <c r="I25" s="408"/>
      <c r="J25" s="408"/>
      <c r="K25" s="112" t="s">
        <v>18</v>
      </c>
      <c r="L25" s="29" t="s">
        <v>178</v>
      </c>
    </row>
    <row r="26" spans="2:13">
      <c r="B26" s="92" t="s">
        <v>13</v>
      </c>
      <c r="C26" s="349" t="s">
        <v>26</v>
      </c>
      <c r="D26" s="349"/>
      <c r="E26" s="349"/>
      <c r="F26" s="349"/>
      <c r="G26" s="349"/>
      <c r="H26" s="349"/>
      <c r="I26" s="349"/>
      <c r="J26" s="349"/>
      <c r="K26" s="44">
        <v>0.2</v>
      </c>
      <c r="L26" s="45">
        <f>ROUND($K$26*L17,2)</f>
        <v>309.42</v>
      </c>
    </row>
    <row r="27" spans="2:13">
      <c r="B27" s="92" t="s">
        <v>15</v>
      </c>
      <c r="C27" s="349" t="s">
        <v>27</v>
      </c>
      <c r="D27" s="349"/>
      <c r="E27" s="349"/>
      <c r="F27" s="349"/>
      <c r="G27" s="349"/>
      <c r="H27" s="349"/>
      <c r="I27" s="349"/>
      <c r="J27" s="349"/>
      <c r="K27" s="44">
        <v>1.4999999999999999E-2</v>
      </c>
      <c r="L27" s="45">
        <f>ROUND($K$27*L17,2)</f>
        <v>23.21</v>
      </c>
    </row>
    <row r="28" spans="2:13">
      <c r="B28" s="92" t="s">
        <v>19</v>
      </c>
      <c r="C28" s="349" t="s">
        <v>28</v>
      </c>
      <c r="D28" s="349"/>
      <c r="E28" s="349"/>
      <c r="F28" s="349"/>
      <c r="G28" s="349"/>
      <c r="H28" s="349"/>
      <c r="I28" s="349"/>
      <c r="J28" s="349"/>
      <c r="K28" s="44">
        <v>0.01</v>
      </c>
      <c r="L28" s="45">
        <f>ROUND(K28*$L$17,2)</f>
        <v>15.47</v>
      </c>
    </row>
    <row r="29" spans="2:13">
      <c r="B29" s="92" t="s">
        <v>21</v>
      </c>
      <c r="C29" s="349" t="s">
        <v>29</v>
      </c>
      <c r="D29" s="349"/>
      <c r="E29" s="349"/>
      <c r="F29" s="349"/>
      <c r="G29" s="349"/>
      <c r="H29" s="349"/>
      <c r="I29" s="349"/>
      <c r="J29" s="349"/>
      <c r="K29" s="44">
        <v>2E-3</v>
      </c>
      <c r="L29" s="45">
        <f>ROUND(K29*$L$17,2)</f>
        <v>3.09</v>
      </c>
    </row>
    <row r="30" spans="2:13">
      <c r="B30" s="92" t="s">
        <v>23</v>
      </c>
      <c r="C30" s="349" t="s">
        <v>30</v>
      </c>
      <c r="D30" s="349"/>
      <c r="E30" s="349"/>
      <c r="F30" s="349"/>
      <c r="G30" s="349"/>
      <c r="H30" s="349"/>
      <c r="I30" s="349"/>
      <c r="J30" s="349"/>
      <c r="K30" s="44">
        <v>2.5000000000000001E-2</v>
      </c>
      <c r="L30" s="45">
        <f>ROUND(K30*$L$17,2)</f>
        <v>38.68</v>
      </c>
      <c r="M30" s="46"/>
    </row>
    <row r="31" spans="2:13">
      <c r="B31" s="92" t="s">
        <v>6</v>
      </c>
      <c r="C31" s="367" t="s">
        <v>165</v>
      </c>
      <c r="D31" s="369"/>
      <c r="E31" s="454">
        <v>0.08</v>
      </c>
      <c r="F31" s="455"/>
      <c r="G31" s="367" t="s">
        <v>164</v>
      </c>
      <c r="H31" s="368"/>
      <c r="I31" s="368"/>
      <c r="J31" s="369"/>
      <c r="K31" s="44">
        <f>E31*(1+(1/12)+(1/12/3))</f>
        <v>8.8888888888888878E-2</v>
      </c>
      <c r="L31" s="45">
        <f>ROUND(K31*($L$17+(1/3/12*L17)+(1/12*L17)),2)</f>
        <v>152.80000000000001</v>
      </c>
      <c r="M31" s="18" t="s">
        <v>180</v>
      </c>
    </row>
    <row r="32" spans="2:13">
      <c r="B32" s="92" t="s">
        <v>24</v>
      </c>
      <c r="C32" s="349" t="s">
        <v>31</v>
      </c>
      <c r="D32" s="349"/>
      <c r="E32" s="349"/>
      <c r="F32" s="349"/>
      <c r="G32" s="91" t="s">
        <v>32</v>
      </c>
      <c r="H32" s="48">
        <v>0.03</v>
      </c>
      <c r="I32" s="91" t="s">
        <v>33</v>
      </c>
      <c r="J32" s="81">
        <v>1</v>
      </c>
      <c r="K32" s="49">
        <f>H32*J32</f>
        <v>0.03</v>
      </c>
      <c r="L32" s="45">
        <f>ROUND(K32*$L$17,2)</f>
        <v>46.41</v>
      </c>
    </row>
    <row r="33" spans="2:20">
      <c r="B33" s="92" t="s">
        <v>25</v>
      </c>
      <c r="C33" s="349" t="s">
        <v>34</v>
      </c>
      <c r="D33" s="349"/>
      <c r="E33" s="349"/>
      <c r="F33" s="349"/>
      <c r="G33" s="349"/>
      <c r="H33" s="349"/>
      <c r="I33" s="349"/>
      <c r="J33" s="349"/>
      <c r="K33" s="44">
        <v>6.0000000000000001E-3</v>
      </c>
      <c r="L33" s="45">
        <f>ROUND(K33*$L$17,2)</f>
        <v>9.2799999999999994</v>
      </c>
      <c r="M33" s="19"/>
      <c r="N33" s="19"/>
      <c r="O33" s="19"/>
      <c r="P33" s="19"/>
      <c r="Q33" s="19"/>
      <c r="R33" s="19"/>
      <c r="S33" s="19"/>
      <c r="T33" s="19"/>
    </row>
    <row r="34" spans="2:20">
      <c r="B34" s="449" t="s">
        <v>181</v>
      </c>
      <c r="C34" s="348"/>
      <c r="D34" s="348"/>
      <c r="E34" s="348"/>
      <c r="F34" s="348"/>
      <c r="G34" s="348"/>
      <c r="H34" s="348"/>
      <c r="I34" s="348"/>
      <c r="J34" s="450"/>
      <c r="K34" s="52">
        <f>SUM(K26:K33)</f>
        <v>0.37688888888888894</v>
      </c>
      <c r="L34" s="29">
        <f>SUM(L26:L33)</f>
        <v>598.36</v>
      </c>
      <c r="M34" s="19"/>
      <c r="N34" s="19"/>
      <c r="O34" s="19"/>
      <c r="P34" s="19"/>
      <c r="Q34" s="19"/>
      <c r="R34" s="19"/>
      <c r="S34" s="19"/>
      <c r="T34" s="19"/>
    </row>
    <row r="35" spans="2:20">
      <c r="B35" s="113"/>
      <c r="C35" s="114"/>
      <c r="D35" s="114"/>
      <c r="E35" s="114"/>
      <c r="F35" s="114"/>
      <c r="G35" s="114"/>
      <c r="H35" s="114"/>
      <c r="I35" s="114"/>
      <c r="J35" s="115"/>
      <c r="K35" s="52"/>
      <c r="L35" s="29"/>
      <c r="M35" s="19"/>
      <c r="N35" s="19"/>
      <c r="O35" s="19"/>
      <c r="P35" s="19"/>
      <c r="Q35" s="19"/>
      <c r="R35" s="19"/>
      <c r="S35" s="19"/>
      <c r="T35" s="19"/>
    </row>
    <row r="36" spans="2:20">
      <c r="B36" s="407" t="s">
        <v>182</v>
      </c>
      <c r="C36" s="408"/>
      <c r="D36" s="408"/>
      <c r="E36" s="408"/>
      <c r="F36" s="408"/>
      <c r="G36" s="408"/>
      <c r="H36" s="408"/>
      <c r="I36" s="408"/>
      <c r="J36" s="408"/>
      <c r="K36" s="112"/>
      <c r="L36" s="29" t="s">
        <v>178</v>
      </c>
    </row>
    <row r="37" spans="2:20">
      <c r="B37" s="77" t="s">
        <v>13</v>
      </c>
      <c r="C37" s="367" t="str">
        <f>'Benef. e Insumos'!B19</f>
        <v xml:space="preserve">CLÁUSULA SÉTIMA - CESTA BÁSICA </v>
      </c>
      <c r="D37" s="368"/>
      <c r="E37" s="368"/>
      <c r="F37" s="368"/>
      <c r="G37" s="368"/>
      <c r="H37" s="368"/>
      <c r="I37" s="368"/>
      <c r="J37" s="369"/>
      <c r="K37" s="100"/>
      <c r="L37" s="29">
        <f>'Benef. e Insumos'!D21</f>
        <v>0</v>
      </c>
    </row>
    <row r="38" spans="2:20">
      <c r="B38" s="77" t="s">
        <v>15</v>
      </c>
      <c r="C38" s="367" t="str">
        <f>'Benef. e Insumos'!B13</f>
        <v>CLÁUSULA SÉTIMA - TÍQUETE REFEIÇÃO</v>
      </c>
      <c r="D38" s="368"/>
      <c r="E38" s="368"/>
      <c r="F38" s="368"/>
      <c r="G38" s="368"/>
      <c r="H38" s="368"/>
      <c r="I38" s="368"/>
      <c r="J38" s="369"/>
      <c r="K38" s="100"/>
      <c r="L38" s="29">
        <f>'Benef. e Insumos'!H17</f>
        <v>300.12</v>
      </c>
    </row>
    <row r="39" spans="2:20">
      <c r="B39" s="77" t="s">
        <v>19</v>
      </c>
      <c r="C39" s="367" t="e">
        <f>'Benef. e Insumos'!#REF!</f>
        <v>#REF!</v>
      </c>
      <c r="D39" s="368"/>
      <c r="E39" s="368"/>
      <c r="F39" s="368"/>
      <c r="G39" s="368"/>
      <c r="H39" s="368"/>
      <c r="I39" s="368"/>
      <c r="J39" s="369"/>
      <c r="K39" s="100"/>
      <c r="L39" s="29" t="e">
        <f>'Benef. e Insumos'!#REF!</f>
        <v>#REF!</v>
      </c>
    </row>
    <row r="40" spans="2:20">
      <c r="B40" s="99" t="s">
        <v>21</v>
      </c>
      <c r="C40" s="367" t="e">
        <f>'Benef. e Insumos'!#REF!</f>
        <v>#REF!</v>
      </c>
      <c r="D40" s="368"/>
      <c r="E40" s="368"/>
      <c r="F40" s="368"/>
      <c r="G40" s="368"/>
      <c r="H40" s="368"/>
      <c r="I40" s="368"/>
      <c r="J40" s="369"/>
      <c r="K40" s="100"/>
      <c r="L40" s="29" t="e">
        <f>'Benef. e Insumos'!#REF!</f>
        <v>#REF!</v>
      </c>
    </row>
    <row r="41" spans="2:20">
      <c r="B41" s="99" t="s">
        <v>23</v>
      </c>
      <c r="C41" s="367" t="e">
        <f>'Benef. e Insumos'!#REF!</f>
        <v>#REF!</v>
      </c>
      <c r="D41" s="368"/>
      <c r="E41" s="368"/>
      <c r="F41" s="368"/>
      <c r="G41" s="368"/>
      <c r="H41" s="368"/>
      <c r="I41" s="368"/>
      <c r="J41" s="369"/>
      <c r="K41" s="101"/>
      <c r="L41" s="29" t="e">
        <f>'Benef. e Insumos'!#REF!</f>
        <v>#REF!</v>
      </c>
    </row>
    <row r="42" spans="2:20">
      <c r="B42" s="99" t="s">
        <v>6</v>
      </c>
      <c r="C42" s="367" t="e">
        <f>'Benef. e Insumos'!#REF!</f>
        <v>#REF!</v>
      </c>
      <c r="D42" s="368"/>
      <c r="E42" s="368"/>
      <c r="F42" s="368"/>
      <c r="G42" s="368"/>
      <c r="H42" s="368"/>
      <c r="I42" s="368"/>
      <c r="J42" s="369"/>
      <c r="K42" s="102"/>
      <c r="L42" s="29" t="e">
        <f>'Benef. e Insumos'!#REF!</f>
        <v>#REF!</v>
      </c>
    </row>
    <row r="43" spans="2:20">
      <c r="B43" s="99" t="s">
        <v>24</v>
      </c>
      <c r="C43" s="367" t="str">
        <f>'Benef. e Insumos'!B27</f>
        <v xml:space="preserve"> AUXÍLIO TRANSPORTE</v>
      </c>
      <c r="D43" s="368"/>
      <c r="E43" s="368"/>
      <c r="F43" s="368"/>
      <c r="G43" s="368"/>
      <c r="H43" s="368"/>
      <c r="I43" s="368"/>
      <c r="J43" s="369"/>
      <c r="K43" s="102"/>
      <c r="L43" s="29">
        <f>'Benef. e Insumos'!G29</f>
        <v>21.172800000000009</v>
      </c>
    </row>
    <row r="44" spans="2:20">
      <c r="B44" s="99" t="s">
        <v>25</v>
      </c>
      <c r="C44" s="453" t="s">
        <v>3</v>
      </c>
      <c r="D44" s="453"/>
      <c r="E44" s="453"/>
      <c r="F44" s="453"/>
      <c r="G44" s="453"/>
      <c r="H44" s="453"/>
      <c r="I44" s="453"/>
      <c r="J44" s="453"/>
      <c r="K44" s="453"/>
      <c r="L44" s="36">
        <v>0</v>
      </c>
    </row>
    <row r="45" spans="2:20">
      <c r="B45" s="449" t="s">
        <v>184</v>
      </c>
      <c r="C45" s="348"/>
      <c r="D45" s="348"/>
      <c r="E45" s="348"/>
      <c r="F45" s="348"/>
      <c r="G45" s="348"/>
      <c r="H45" s="348"/>
      <c r="I45" s="348"/>
      <c r="J45" s="450"/>
      <c r="K45" s="52"/>
      <c r="L45" s="29" t="e">
        <f>SUM(L37:L44)</f>
        <v>#REF!</v>
      </c>
    </row>
    <row r="46" spans="2:20">
      <c r="B46" s="113"/>
      <c r="C46" s="114"/>
      <c r="D46" s="114"/>
      <c r="E46" s="114"/>
      <c r="F46" s="114"/>
      <c r="G46" s="114"/>
      <c r="H46" s="114"/>
      <c r="I46" s="114"/>
      <c r="J46" s="115"/>
      <c r="K46" s="52"/>
      <c r="L46" s="29"/>
    </row>
    <row r="47" spans="2:20">
      <c r="B47" s="393" t="s">
        <v>185</v>
      </c>
      <c r="C47" s="393"/>
      <c r="D47" s="393"/>
      <c r="E47" s="393"/>
      <c r="F47" s="393"/>
      <c r="G47" s="393"/>
      <c r="H47" s="393"/>
      <c r="I47" s="393"/>
      <c r="J47" s="393"/>
      <c r="K47" s="393"/>
      <c r="L47" s="24" t="str">
        <f>L5</f>
        <v>SERVENTE</v>
      </c>
    </row>
    <row r="48" spans="2:20">
      <c r="B48" s="110" t="s">
        <v>186</v>
      </c>
      <c r="C48" s="367" t="s">
        <v>189</v>
      </c>
      <c r="D48" s="368"/>
      <c r="E48" s="368"/>
      <c r="F48" s="368"/>
      <c r="G48" s="368"/>
      <c r="H48" s="368"/>
      <c r="I48" s="368"/>
      <c r="J48" s="369"/>
      <c r="K48" s="100"/>
      <c r="L48" s="29">
        <f>L23</f>
        <v>171.88503199999997</v>
      </c>
    </row>
    <row r="49" spans="2:12">
      <c r="B49" s="110" t="s">
        <v>187</v>
      </c>
      <c r="C49" s="367" t="s">
        <v>190</v>
      </c>
      <c r="D49" s="368"/>
      <c r="E49" s="368"/>
      <c r="F49" s="368"/>
      <c r="G49" s="368"/>
      <c r="H49" s="368"/>
      <c r="I49" s="368"/>
      <c r="J49" s="369"/>
      <c r="K49" s="100"/>
      <c r="L49" s="29">
        <f>L34</f>
        <v>598.36</v>
      </c>
    </row>
    <row r="50" spans="2:12">
      <c r="B50" s="110" t="s">
        <v>188</v>
      </c>
      <c r="C50" s="367" t="s">
        <v>192</v>
      </c>
      <c r="D50" s="368"/>
      <c r="E50" s="368"/>
      <c r="F50" s="368"/>
      <c r="G50" s="368"/>
      <c r="H50" s="368"/>
      <c r="I50" s="368"/>
      <c r="J50" s="369"/>
      <c r="K50" s="100"/>
      <c r="L50" s="29" t="e">
        <f>L45</f>
        <v>#REF!</v>
      </c>
    </row>
    <row r="51" spans="2:12">
      <c r="B51" s="355" t="s">
        <v>191</v>
      </c>
      <c r="C51" s="356"/>
      <c r="D51" s="356"/>
      <c r="E51" s="356"/>
      <c r="F51" s="356"/>
      <c r="G51" s="356"/>
      <c r="H51" s="356"/>
      <c r="I51" s="356"/>
      <c r="J51" s="357"/>
      <c r="K51" s="121"/>
      <c r="L51" s="122" t="e">
        <f>SUM(L48:L50)</f>
        <v>#REF!</v>
      </c>
    </row>
    <row r="52" spans="2:12">
      <c r="B52" s="350"/>
      <c r="C52" s="351"/>
      <c r="D52" s="351"/>
      <c r="E52" s="351"/>
      <c r="F52" s="351"/>
      <c r="G52" s="351"/>
      <c r="H52" s="351"/>
      <c r="I52" s="351"/>
      <c r="J52" s="351"/>
      <c r="K52" s="351"/>
      <c r="L52" s="351"/>
    </row>
    <row r="53" spans="2:12">
      <c r="B53" s="409" t="s">
        <v>183</v>
      </c>
      <c r="C53" s="409"/>
      <c r="D53" s="409"/>
      <c r="E53" s="409"/>
      <c r="F53" s="409"/>
      <c r="G53" s="409"/>
      <c r="H53" s="409"/>
      <c r="I53" s="409"/>
      <c r="J53" s="409"/>
      <c r="K53" s="117" t="s">
        <v>18</v>
      </c>
      <c r="L53" s="118" t="s">
        <v>178</v>
      </c>
    </row>
    <row r="54" spans="2:12">
      <c r="B54" s="77" t="s">
        <v>13</v>
      </c>
      <c r="C54" s="349" t="s">
        <v>35</v>
      </c>
      <c r="D54" s="349"/>
      <c r="E54" s="349"/>
      <c r="F54" s="349"/>
      <c r="G54" s="349"/>
      <c r="H54" s="349"/>
      <c r="I54" s="56">
        <v>30</v>
      </c>
      <c r="J54" s="57">
        <v>0.05</v>
      </c>
      <c r="K54" s="52">
        <f>I54/30/12*J54</f>
        <v>4.1666666666666666E-3</v>
      </c>
      <c r="L54" s="29">
        <f t="shared" ref="L54:L59" si="0">ROUND(K54*$L$17,2)</f>
        <v>6.45</v>
      </c>
    </row>
    <row r="55" spans="2:12">
      <c r="B55" s="77" t="s">
        <v>15</v>
      </c>
      <c r="C55" s="349" t="s">
        <v>36</v>
      </c>
      <c r="D55" s="349"/>
      <c r="E55" s="349"/>
      <c r="F55" s="349"/>
      <c r="G55" s="349"/>
      <c r="H55" s="349"/>
      <c r="I55" s="349"/>
      <c r="J55" s="349"/>
      <c r="K55" s="52">
        <f>K31*K54</f>
        <v>3.703703703703703E-4</v>
      </c>
      <c r="L55" s="29">
        <f t="shared" si="0"/>
        <v>0.56999999999999995</v>
      </c>
    </row>
    <row r="56" spans="2:12">
      <c r="B56" s="110" t="s">
        <v>19</v>
      </c>
      <c r="C56" s="349" t="s">
        <v>194</v>
      </c>
      <c r="D56" s="349"/>
      <c r="E56" s="349"/>
      <c r="F56" s="349"/>
      <c r="G56" s="349"/>
      <c r="H56" s="349"/>
      <c r="I56" s="349"/>
      <c r="J56" s="349"/>
      <c r="K56" s="52">
        <f>0.5*K55</f>
        <v>1.8518518518518515E-4</v>
      </c>
      <c r="L56" s="29">
        <f t="shared" si="0"/>
        <v>0.28999999999999998</v>
      </c>
    </row>
    <row r="57" spans="2:12">
      <c r="B57" s="110" t="s">
        <v>21</v>
      </c>
      <c r="C57" s="349" t="s">
        <v>196</v>
      </c>
      <c r="D57" s="349"/>
      <c r="E57" s="349"/>
      <c r="F57" s="349"/>
      <c r="G57" s="349"/>
      <c r="H57" s="349"/>
      <c r="I57" s="349"/>
      <c r="J57" s="349"/>
      <c r="K57" s="52">
        <v>4.0000000000000002E-4</v>
      </c>
      <c r="L57" s="29">
        <f t="shared" si="0"/>
        <v>0.62</v>
      </c>
    </row>
    <row r="58" spans="2:12">
      <c r="B58" s="110" t="s">
        <v>23</v>
      </c>
      <c r="C58" s="349" t="s">
        <v>195</v>
      </c>
      <c r="D58" s="349"/>
      <c r="E58" s="349"/>
      <c r="F58" s="349"/>
      <c r="G58" s="349"/>
      <c r="H58" s="349"/>
      <c r="I58" s="349"/>
      <c r="J58" s="349"/>
      <c r="K58" s="52">
        <f>K34*K57</f>
        <v>1.5075555555555558E-4</v>
      </c>
      <c r="L58" s="29">
        <f t="shared" si="0"/>
        <v>0.23</v>
      </c>
    </row>
    <row r="59" spans="2:12">
      <c r="B59" s="110" t="s">
        <v>6</v>
      </c>
      <c r="C59" s="349" t="s">
        <v>197</v>
      </c>
      <c r="D59" s="349"/>
      <c r="E59" s="349"/>
      <c r="F59" s="349"/>
      <c r="G59" s="349"/>
      <c r="H59" s="349"/>
      <c r="I59" s="349"/>
      <c r="J59" s="349"/>
      <c r="K59" s="116">
        <f>0.5*0.08*K57</f>
        <v>1.6000000000000003E-5</v>
      </c>
      <c r="L59" s="29">
        <f t="shared" si="0"/>
        <v>0.02</v>
      </c>
    </row>
    <row r="60" spans="2:12" ht="15" customHeight="1">
      <c r="B60" s="355" t="s">
        <v>193</v>
      </c>
      <c r="C60" s="356"/>
      <c r="D60" s="356"/>
      <c r="E60" s="356"/>
      <c r="F60" s="356"/>
      <c r="G60" s="356"/>
      <c r="H60" s="356"/>
      <c r="I60" s="356"/>
      <c r="J60" s="357"/>
      <c r="K60" s="121"/>
      <c r="L60" s="122">
        <f>SUM(L54:L59)</f>
        <v>8.18</v>
      </c>
    </row>
    <row r="61" spans="2:12">
      <c r="B61" s="37"/>
      <c r="C61" s="33"/>
      <c r="D61" s="33"/>
      <c r="E61" s="37"/>
      <c r="F61" s="37"/>
      <c r="G61" s="37"/>
      <c r="H61" s="37"/>
      <c r="I61" s="38"/>
      <c r="J61" s="39"/>
      <c r="K61" s="37"/>
    </row>
    <row r="62" spans="2:12">
      <c r="B62" s="409" t="s">
        <v>198</v>
      </c>
      <c r="C62" s="409"/>
      <c r="D62" s="409"/>
      <c r="E62" s="409"/>
      <c r="F62" s="409"/>
      <c r="G62" s="409"/>
      <c r="H62" s="409"/>
      <c r="I62" s="409"/>
      <c r="J62" s="409"/>
      <c r="K62" s="117"/>
      <c r="L62" s="118"/>
    </row>
    <row r="63" spans="2:12">
      <c r="B63" s="407" t="s">
        <v>203</v>
      </c>
      <c r="C63" s="408"/>
      <c r="D63" s="408"/>
      <c r="E63" s="408"/>
      <c r="F63" s="408"/>
      <c r="G63" s="408"/>
      <c r="H63" s="408"/>
      <c r="I63" s="408"/>
      <c r="J63" s="408"/>
      <c r="K63" s="112" t="s">
        <v>18</v>
      </c>
      <c r="L63" s="29" t="s">
        <v>178</v>
      </c>
    </row>
    <row r="64" spans="2:12">
      <c r="B64" s="77" t="s">
        <v>13</v>
      </c>
      <c r="C64" s="384" t="s">
        <v>199</v>
      </c>
      <c r="D64" s="384"/>
      <c r="E64" s="384"/>
      <c r="F64" s="384"/>
      <c r="G64" s="384"/>
      <c r="H64" s="384"/>
      <c r="I64" s="384"/>
      <c r="J64" s="384"/>
      <c r="K64" s="59">
        <f>1/12</f>
        <v>8.3333333333333329E-2</v>
      </c>
      <c r="L64" s="29">
        <f>K64*$L$17</f>
        <v>128.92666666666665</v>
      </c>
    </row>
    <row r="65" spans="2:13">
      <c r="B65" s="77" t="s">
        <v>15</v>
      </c>
      <c r="C65" s="349" t="s">
        <v>200</v>
      </c>
      <c r="D65" s="349"/>
      <c r="E65" s="349"/>
      <c r="F65" s="349"/>
      <c r="G65" s="451" t="s">
        <v>38</v>
      </c>
      <c r="H65" s="451"/>
      <c r="I65" s="451"/>
      <c r="J65" s="60">
        <v>3</v>
      </c>
      <c r="K65" s="59">
        <f>J65/30/12</f>
        <v>8.3333333333333332E-3</v>
      </c>
      <c r="L65" s="29">
        <f>K65*$L$17</f>
        <v>12.892666666666665</v>
      </c>
      <c r="M65" s="18" t="s">
        <v>180</v>
      </c>
    </row>
    <row r="66" spans="2:13">
      <c r="B66" s="77" t="s">
        <v>19</v>
      </c>
      <c r="C66" s="349" t="s">
        <v>39</v>
      </c>
      <c r="D66" s="349"/>
      <c r="E66" s="349"/>
      <c r="F66" s="349"/>
      <c r="G66" s="451" t="s">
        <v>37</v>
      </c>
      <c r="H66" s="451"/>
      <c r="I66" s="54">
        <v>1.4999999999999999E-2</v>
      </c>
      <c r="J66" s="61">
        <v>5</v>
      </c>
      <c r="K66" s="59">
        <f>J66/30/12*I66</f>
        <v>2.0833333333333332E-4</v>
      </c>
      <c r="L66" s="29">
        <f t="shared" ref="L66:L69" si="1">K66*$L$17</f>
        <v>0.32231666666666664</v>
      </c>
    </row>
    <row r="67" spans="2:13">
      <c r="B67" s="77" t="s">
        <v>21</v>
      </c>
      <c r="C67" s="451" t="s">
        <v>201</v>
      </c>
      <c r="D67" s="451"/>
      <c r="E67" s="451"/>
      <c r="F67" s="60"/>
      <c r="G67" s="451" t="s">
        <v>37</v>
      </c>
      <c r="H67" s="451"/>
      <c r="I67" s="54">
        <v>7.7999999999999996E-3</v>
      </c>
      <c r="J67" s="62">
        <v>15</v>
      </c>
      <c r="K67" s="59">
        <f>J67/30/12*I67</f>
        <v>3.2499999999999999E-4</v>
      </c>
      <c r="L67" s="29">
        <f t="shared" si="1"/>
        <v>0.50281399999999998</v>
      </c>
    </row>
    <row r="68" spans="2:13">
      <c r="B68" s="77" t="s">
        <v>23</v>
      </c>
      <c r="C68" s="451" t="s">
        <v>202</v>
      </c>
      <c r="D68" s="451"/>
      <c r="E68" s="451"/>
      <c r="F68" s="60"/>
      <c r="G68" s="452"/>
      <c r="H68" s="451"/>
      <c r="I68" s="54"/>
      <c r="J68" s="62"/>
      <c r="K68" s="59">
        <v>6.1000000000000004E-3</v>
      </c>
      <c r="L68" s="29">
        <f t="shared" si="1"/>
        <v>9.4374319999999994</v>
      </c>
      <c r="M68" s="82" t="s">
        <v>180</v>
      </c>
    </row>
    <row r="69" spans="2:13">
      <c r="B69" s="77" t="s">
        <v>6</v>
      </c>
      <c r="C69" s="453" t="s">
        <v>3</v>
      </c>
      <c r="D69" s="453"/>
      <c r="E69" s="453" t="s">
        <v>40</v>
      </c>
      <c r="F69" s="453"/>
      <c r="G69" s="453"/>
      <c r="H69" s="453"/>
      <c r="I69" s="453"/>
      <c r="J69" s="453"/>
      <c r="K69" s="63"/>
      <c r="L69" s="29">
        <f t="shared" si="1"/>
        <v>0</v>
      </c>
      <c r="M69" s="82"/>
    </row>
    <row r="70" spans="2:13">
      <c r="B70" s="449" t="s">
        <v>204</v>
      </c>
      <c r="C70" s="348"/>
      <c r="D70" s="348"/>
      <c r="E70" s="348"/>
      <c r="F70" s="348"/>
      <c r="G70" s="348"/>
      <c r="H70" s="348"/>
      <c r="I70" s="348"/>
      <c r="J70" s="450"/>
      <c r="K70" s="64"/>
      <c r="L70" s="29">
        <f>SUM(L64:L69)</f>
        <v>152.08189599999997</v>
      </c>
    </row>
    <row r="71" spans="2:13">
      <c r="B71" s="113"/>
      <c r="C71" s="114"/>
      <c r="D71" s="114"/>
      <c r="E71" s="114"/>
      <c r="F71" s="114"/>
      <c r="G71" s="114"/>
      <c r="H71" s="114"/>
      <c r="I71" s="114"/>
      <c r="J71" s="115"/>
      <c r="K71" s="52"/>
      <c r="L71" s="29"/>
    </row>
    <row r="72" spans="2:13">
      <c r="B72" s="407" t="s">
        <v>205</v>
      </c>
      <c r="C72" s="408"/>
      <c r="D72" s="408"/>
      <c r="E72" s="408"/>
      <c r="F72" s="408"/>
      <c r="G72" s="408"/>
      <c r="H72" s="408"/>
      <c r="I72" s="408"/>
      <c r="J72" s="408"/>
      <c r="K72" s="112" t="s">
        <v>18</v>
      </c>
      <c r="L72" s="29" t="s">
        <v>178</v>
      </c>
    </row>
    <row r="73" spans="2:13">
      <c r="B73" s="110" t="s">
        <v>13</v>
      </c>
      <c r="C73" s="384" t="s">
        <v>206</v>
      </c>
      <c r="D73" s="384"/>
      <c r="E73" s="384"/>
      <c r="F73" s="384"/>
      <c r="G73" s="384"/>
      <c r="H73" s="384"/>
      <c r="I73" s="384"/>
      <c r="J73" s="384"/>
      <c r="K73" s="59">
        <v>0</v>
      </c>
      <c r="L73" s="29">
        <f>K73*$L$17</f>
        <v>0</v>
      </c>
    </row>
    <row r="74" spans="2:13">
      <c r="B74" s="449" t="s">
        <v>207</v>
      </c>
      <c r="C74" s="348"/>
      <c r="D74" s="348"/>
      <c r="E74" s="348"/>
      <c r="F74" s="348"/>
      <c r="G74" s="348"/>
      <c r="H74" s="348"/>
      <c r="I74" s="348"/>
      <c r="J74" s="450"/>
      <c r="K74" s="64"/>
      <c r="L74" s="29">
        <f>SUM(L73:L73)</f>
        <v>0</v>
      </c>
    </row>
    <row r="75" spans="2:13">
      <c r="B75" s="113"/>
      <c r="C75" s="114"/>
      <c r="D75" s="114"/>
      <c r="E75" s="114"/>
      <c r="F75" s="114"/>
      <c r="G75" s="114"/>
      <c r="H75" s="114"/>
      <c r="I75" s="114"/>
      <c r="J75" s="114"/>
      <c r="K75" s="119"/>
      <c r="L75" s="29"/>
    </row>
    <row r="76" spans="2:13">
      <c r="B76" s="393" t="s">
        <v>208</v>
      </c>
      <c r="C76" s="393"/>
      <c r="D76" s="393"/>
      <c r="E76" s="393"/>
      <c r="F76" s="393"/>
      <c r="G76" s="393"/>
      <c r="H76" s="393"/>
      <c r="I76" s="393"/>
      <c r="J76" s="393"/>
      <c r="K76" s="393"/>
      <c r="L76" s="24">
        <f>L34</f>
        <v>598.36</v>
      </c>
    </row>
    <row r="77" spans="2:13">
      <c r="B77" s="110" t="s">
        <v>209</v>
      </c>
      <c r="C77" s="367" t="s">
        <v>200</v>
      </c>
      <c r="D77" s="368"/>
      <c r="E77" s="368"/>
      <c r="F77" s="368"/>
      <c r="G77" s="368"/>
      <c r="H77" s="368"/>
      <c r="I77" s="368"/>
      <c r="J77" s="369"/>
      <c r="K77" s="100"/>
      <c r="L77" s="29">
        <f>L70</f>
        <v>152.08189599999997</v>
      </c>
    </row>
    <row r="78" spans="2:13">
      <c r="B78" s="110" t="s">
        <v>210</v>
      </c>
      <c r="C78" s="367" t="s">
        <v>211</v>
      </c>
      <c r="D78" s="368"/>
      <c r="E78" s="368"/>
      <c r="F78" s="368"/>
      <c r="G78" s="368"/>
      <c r="H78" s="368"/>
      <c r="I78" s="368"/>
      <c r="J78" s="369"/>
      <c r="K78" s="100"/>
      <c r="L78" s="29">
        <f>L74</f>
        <v>0</v>
      </c>
    </row>
    <row r="79" spans="2:13">
      <c r="B79" s="355" t="s">
        <v>212</v>
      </c>
      <c r="C79" s="356"/>
      <c r="D79" s="356"/>
      <c r="E79" s="356"/>
      <c r="F79" s="356"/>
      <c r="G79" s="356"/>
      <c r="H79" s="356"/>
      <c r="I79" s="356"/>
      <c r="J79" s="357"/>
      <c r="K79" s="121"/>
      <c r="L79" s="122">
        <f>SUM(L77:L78)</f>
        <v>152.08189599999997</v>
      </c>
    </row>
    <row r="80" spans="2:13">
      <c r="B80" s="350"/>
      <c r="C80" s="351"/>
      <c r="D80" s="351"/>
      <c r="E80" s="351"/>
      <c r="F80" s="351"/>
      <c r="G80" s="351"/>
      <c r="H80" s="351"/>
      <c r="I80" s="351"/>
      <c r="J80" s="351"/>
      <c r="K80" s="351"/>
      <c r="L80" s="351"/>
    </row>
    <row r="81" spans="2:13">
      <c r="B81" s="409" t="s">
        <v>213</v>
      </c>
      <c r="C81" s="409"/>
      <c r="D81" s="409"/>
      <c r="E81" s="409"/>
      <c r="F81" s="409"/>
      <c r="G81" s="409"/>
      <c r="H81" s="409"/>
      <c r="I81" s="409"/>
      <c r="J81" s="409"/>
      <c r="K81" s="117"/>
      <c r="L81" s="118"/>
      <c r="M81" s="40"/>
    </row>
    <row r="82" spans="2:13">
      <c r="B82" s="77" t="s">
        <v>13</v>
      </c>
      <c r="C82" s="427" t="s">
        <v>66</v>
      </c>
      <c r="D82" s="427"/>
      <c r="E82" s="427"/>
      <c r="F82" s="427"/>
      <c r="G82" s="427"/>
      <c r="H82" s="427"/>
      <c r="I82" s="427"/>
      <c r="J82" s="427"/>
      <c r="K82" s="427"/>
      <c r="L82" s="29">
        <f>'Benef. e Insumos'!H54</f>
        <v>89.157499999999999</v>
      </c>
    </row>
    <row r="83" spans="2:13">
      <c r="B83" s="77" t="s">
        <v>15</v>
      </c>
      <c r="C83" s="374" t="s">
        <v>215</v>
      </c>
      <c r="D83" s="426"/>
      <c r="E83" s="441" t="s">
        <v>67</v>
      </c>
      <c r="F83" s="442"/>
      <c r="G83" s="442"/>
      <c r="H83" s="442"/>
      <c r="I83" s="443"/>
      <c r="J83" s="462">
        <v>0.12</v>
      </c>
      <c r="K83" s="463"/>
      <c r="L83" s="36" t="e">
        <f>(L17+L51+L60+L79+L82)/(1-J83)*J83</f>
        <v>#REF!</v>
      </c>
      <c r="M83" s="41"/>
    </row>
    <row r="84" spans="2:13">
      <c r="B84" s="111" t="s">
        <v>222</v>
      </c>
      <c r="C84" s="374" t="s">
        <v>223</v>
      </c>
      <c r="D84" s="426"/>
      <c r="E84" s="441"/>
      <c r="F84" s="442"/>
      <c r="G84" s="442"/>
      <c r="H84" s="442"/>
      <c r="I84" s="443"/>
      <c r="J84" s="444">
        <f>H95+H96</f>
        <v>9.2499999999999999E-2</v>
      </c>
      <c r="K84" s="445"/>
      <c r="L84" s="36" t="e">
        <f>-J84*L83</f>
        <v>#REF!</v>
      </c>
      <c r="M84" s="41"/>
    </row>
    <row r="85" spans="2:13">
      <c r="B85" s="110" t="s">
        <v>19</v>
      </c>
      <c r="C85" s="103" t="s">
        <v>214</v>
      </c>
      <c r="D85" s="104"/>
      <c r="E85" s="105"/>
      <c r="F85" s="106"/>
      <c r="G85" s="106"/>
      <c r="H85" s="106"/>
      <c r="I85" s="107"/>
      <c r="J85" s="108"/>
      <c r="K85" s="109"/>
      <c r="L85" s="36"/>
      <c r="M85" s="41"/>
    </row>
    <row r="86" spans="2:13">
      <c r="B86" s="77" t="s">
        <v>216</v>
      </c>
      <c r="C86" s="453" t="s">
        <v>3</v>
      </c>
      <c r="D86" s="453"/>
      <c r="E86" s="453"/>
      <c r="F86" s="453"/>
      <c r="G86" s="453"/>
      <c r="H86" s="453"/>
      <c r="I86" s="453"/>
      <c r="J86" s="453"/>
      <c r="K86" s="453"/>
      <c r="L86" s="36">
        <v>0</v>
      </c>
    </row>
    <row r="87" spans="2:13">
      <c r="B87" s="355" t="s">
        <v>219</v>
      </c>
      <c r="C87" s="356"/>
      <c r="D87" s="356"/>
      <c r="E87" s="356"/>
      <c r="F87" s="356"/>
      <c r="G87" s="356"/>
      <c r="H87" s="356"/>
      <c r="I87" s="356"/>
      <c r="J87" s="357"/>
      <c r="K87" s="121"/>
      <c r="L87" s="122" t="e">
        <f>SUM(L82:L86)</f>
        <v>#REF!</v>
      </c>
    </row>
    <row r="88" spans="2:13">
      <c r="B88" s="42"/>
      <c r="C88" s="42"/>
      <c r="D88" s="42"/>
      <c r="E88" s="42"/>
      <c r="F88" s="42"/>
      <c r="G88" s="42"/>
      <c r="H88" s="42"/>
      <c r="I88" s="55"/>
      <c r="J88" s="42"/>
      <c r="K88" s="42"/>
    </row>
    <row r="89" spans="2:13">
      <c r="B89" s="33"/>
      <c r="C89" s="33"/>
      <c r="D89" s="33"/>
      <c r="E89" s="33"/>
      <c r="F89" s="33"/>
      <c r="G89" s="33"/>
      <c r="H89" s="66"/>
      <c r="I89" s="66"/>
      <c r="J89" s="66"/>
      <c r="K89" s="66"/>
      <c r="L89" s="67"/>
    </row>
    <row r="90" spans="2:13">
      <c r="B90" s="409" t="s">
        <v>217</v>
      </c>
      <c r="C90" s="409"/>
      <c r="D90" s="409"/>
      <c r="E90" s="409"/>
      <c r="F90" s="409"/>
      <c r="G90" s="409"/>
      <c r="H90" s="409"/>
      <c r="I90" s="409"/>
      <c r="J90" s="409"/>
      <c r="K90" s="117"/>
      <c r="L90" s="118" t="str">
        <f>L5</f>
        <v>SERVENTE</v>
      </c>
    </row>
    <row r="91" spans="2:13">
      <c r="B91" s="77" t="s">
        <v>13</v>
      </c>
      <c r="C91" s="384" t="s">
        <v>218</v>
      </c>
      <c r="D91" s="384"/>
      <c r="E91" s="384"/>
      <c r="F91" s="384"/>
      <c r="G91" s="384"/>
      <c r="H91" s="384"/>
      <c r="I91" s="384"/>
      <c r="J91" s="384"/>
      <c r="K91" s="83">
        <v>0.05</v>
      </c>
      <c r="L91" s="45" t="e">
        <f>K91*L110</f>
        <v>#REF!</v>
      </c>
      <c r="M91" s="68"/>
    </row>
    <row r="92" spans="2:13">
      <c r="B92" s="77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3">
        <v>6.8099999999999994E-2</v>
      </c>
      <c r="L92" s="45" t="e">
        <f>K92*L110</f>
        <v>#REF!</v>
      </c>
      <c r="M92" s="68"/>
    </row>
    <row r="93" spans="2:13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 t="e">
        <f>L110+L91+L92</f>
        <v>#REF!</v>
      </c>
      <c r="K93" s="366"/>
      <c r="L93" s="65"/>
    </row>
    <row r="94" spans="2:13">
      <c r="B94" s="361"/>
      <c r="C94" s="447" t="s">
        <v>43</v>
      </c>
      <c r="D94" s="410"/>
      <c r="E94" s="410"/>
      <c r="F94" s="448"/>
      <c r="G94" s="58"/>
      <c r="H94" s="58" t="s">
        <v>44</v>
      </c>
      <c r="I94" s="58"/>
      <c r="J94" s="370"/>
      <c r="K94" s="371"/>
      <c r="L94" s="65"/>
    </row>
    <row r="95" spans="2:13">
      <c r="B95" s="361"/>
      <c r="C95" s="446" t="s">
        <v>45</v>
      </c>
      <c r="D95" s="446"/>
      <c r="E95" s="446"/>
      <c r="F95" s="446"/>
      <c r="G95" s="84" t="s">
        <v>46</v>
      </c>
      <c r="H95" s="53">
        <v>1.6500000000000001E-2</v>
      </c>
      <c r="I95" s="372">
        <f>SUM(H95:H100)</f>
        <v>0.13250000000000001</v>
      </c>
      <c r="J95" s="359" t="e">
        <f>ROUND($L$112*H95,2)</f>
        <v>#REF!</v>
      </c>
      <c r="K95" s="360"/>
      <c r="L95" s="423" t="e">
        <f>SUM(J95:K100)</f>
        <v>#REF!</v>
      </c>
    </row>
    <row r="96" spans="2:13">
      <c r="B96" s="361"/>
      <c r="C96" s="446"/>
      <c r="D96" s="446"/>
      <c r="E96" s="446"/>
      <c r="F96" s="446"/>
      <c r="G96" s="84" t="s">
        <v>47</v>
      </c>
      <c r="H96" s="53">
        <v>7.5999999999999998E-2</v>
      </c>
      <c r="I96" s="372"/>
      <c r="J96" s="359" t="e">
        <f t="shared" ref="J96:J100" si="2">ROUND($L$112*H96,2)</f>
        <v>#REF!</v>
      </c>
      <c r="K96" s="360"/>
      <c r="L96" s="424"/>
    </row>
    <row r="97" spans="2:12">
      <c r="B97" s="361"/>
      <c r="C97" s="446"/>
      <c r="D97" s="446"/>
      <c r="E97" s="446"/>
      <c r="F97" s="446"/>
      <c r="G97" s="84" t="s">
        <v>48</v>
      </c>
      <c r="H97" s="53">
        <v>0</v>
      </c>
      <c r="I97" s="372"/>
      <c r="J97" s="359" t="e">
        <f t="shared" si="2"/>
        <v>#REF!</v>
      </c>
      <c r="K97" s="360"/>
      <c r="L97" s="424"/>
    </row>
    <row r="98" spans="2:12">
      <c r="B98" s="361"/>
      <c r="C98" s="446" t="s">
        <v>49</v>
      </c>
      <c r="D98" s="446"/>
      <c r="E98" s="446"/>
      <c r="F98" s="446"/>
      <c r="G98" s="85" t="s">
        <v>50</v>
      </c>
      <c r="H98" s="53">
        <v>0.04</v>
      </c>
      <c r="I98" s="372"/>
      <c r="J98" s="359" t="e">
        <f t="shared" si="2"/>
        <v>#REF!</v>
      </c>
      <c r="K98" s="360"/>
      <c r="L98" s="424"/>
    </row>
    <row r="99" spans="2:12">
      <c r="B99" s="361"/>
      <c r="C99" s="446"/>
      <c r="D99" s="446"/>
      <c r="E99" s="446"/>
      <c r="F99" s="446"/>
      <c r="G99" s="85" t="s">
        <v>48</v>
      </c>
      <c r="H99" s="53">
        <v>0</v>
      </c>
      <c r="I99" s="372"/>
      <c r="J99" s="359" t="e">
        <f t="shared" si="2"/>
        <v>#REF!</v>
      </c>
      <c r="K99" s="360"/>
      <c r="L99" s="424"/>
    </row>
    <row r="100" spans="2:12">
      <c r="B100" s="361"/>
      <c r="C100" s="446" t="s">
        <v>51</v>
      </c>
      <c r="D100" s="446"/>
      <c r="E100" s="446"/>
      <c r="F100" s="446"/>
      <c r="G100" s="85"/>
      <c r="H100" s="53">
        <v>0</v>
      </c>
      <c r="I100" s="372"/>
      <c r="J100" s="359" t="e">
        <f t="shared" si="2"/>
        <v>#REF!</v>
      </c>
      <c r="K100" s="360"/>
      <c r="L100" s="425"/>
    </row>
    <row r="101" spans="2:12">
      <c r="B101" s="361" t="s">
        <v>52</v>
      </c>
      <c r="C101" s="361"/>
      <c r="D101" s="361"/>
      <c r="E101" s="361"/>
      <c r="F101" s="361"/>
      <c r="G101" s="361"/>
      <c r="H101" s="361"/>
      <c r="I101" s="361"/>
      <c r="J101" s="361"/>
      <c r="K101" s="361"/>
      <c r="L101" s="78" t="e">
        <f>L95+L92+L91</f>
        <v>#REF!</v>
      </c>
    </row>
    <row r="102" spans="2:12">
      <c r="B102" s="69"/>
      <c r="C102" s="69"/>
      <c r="D102" s="69"/>
      <c r="E102" s="69"/>
      <c r="F102" s="69"/>
      <c r="G102" s="69"/>
      <c r="H102" s="69"/>
      <c r="I102" s="70"/>
      <c r="J102" s="71"/>
      <c r="K102" s="69"/>
    </row>
    <row r="103" spans="2:12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2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4" t="str">
        <f>L5</f>
        <v>SERVENTE</v>
      </c>
    </row>
    <row r="105" spans="2:12">
      <c r="B105" s="77" t="s">
        <v>13</v>
      </c>
      <c r="C105" s="384" t="str">
        <f>B6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2">
        <f>L17</f>
        <v>1547.12</v>
      </c>
    </row>
    <row r="106" spans="2:12">
      <c r="B106" s="77" t="s">
        <v>15</v>
      </c>
      <c r="C106" s="384" t="str">
        <f>B19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2" t="e">
        <f>L51</f>
        <v>#REF!</v>
      </c>
    </row>
    <row r="107" spans="2:12">
      <c r="B107" s="77" t="s">
        <v>19</v>
      </c>
      <c r="C107" s="384" t="str">
        <f>B53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2">
        <f>L60</f>
        <v>8.18</v>
      </c>
    </row>
    <row r="108" spans="2:12">
      <c r="B108" s="77" t="s">
        <v>21</v>
      </c>
      <c r="C108" s="384" t="str">
        <f>B62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2">
        <f>L79</f>
        <v>152.08189599999997</v>
      </c>
    </row>
    <row r="109" spans="2:12">
      <c r="B109" s="110" t="s">
        <v>23</v>
      </c>
      <c r="C109" s="384" t="str">
        <f>B81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2" t="e">
        <f>L87</f>
        <v>#REF!</v>
      </c>
    </row>
    <row r="110" spans="2:12">
      <c r="B110" s="395" t="s">
        <v>221</v>
      </c>
      <c r="C110" s="395"/>
      <c r="D110" s="395"/>
      <c r="E110" s="395"/>
      <c r="F110" s="395"/>
      <c r="G110" s="395"/>
      <c r="H110" s="395"/>
      <c r="I110" s="395"/>
      <c r="J110" s="395"/>
      <c r="K110" s="395"/>
      <c r="L110" s="79" t="e">
        <f>SUM(L105:L109)</f>
        <v>#REF!</v>
      </c>
    </row>
    <row r="111" spans="2:12">
      <c r="B111" s="77" t="s">
        <v>23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3" t="e">
        <f>L112-L110</f>
        <v>#REF!</v>
      </c>
    </row>
    <row r="112" spans="2:12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80" t="e">
        <f>ROUND(J93/(1-$I$95),2)</f>
        <v>#REF!</v>
      </c>
    </row>
    <row r="113" spans="6:12">
      <c r="K113" s="68"/>
    </row>
    <row r="115" spans="6:12">
      <c r="F115" s="390" t="s">
        <v>57</v>
      </c>
      <c r="G115" s="391"/>
      <c r="H115" s="391"/>
      <c r="I115" s="392"/>
      <c r="J115" s="18"/>
      <c r="L115" s="18"/>
    </row>
    <row r="116" spans="6:12">
      <c r="F116" s="390" t="s">
        <v>58</v>
      </c>
      <c r="G116" s="391"/>
      <c r="H116" s="392"/>
      <c r="I116" s="74" t="s">
        <v>18</v>
      </c>
      <c r="J116" s="18"/>
      <c r="L116" s="18"/>
    </row>
    <row r="117" spans="6:12">
      <c r="F117" s="75" t="s">
        <v>59</v>
      </c>
      <c r="G117" s="75"/>
      <c r="H117" s="76"/>
      <c r="I117" s="76">
        <f>K91</f>
        <v>0.05</v>
      </c>
      <c r="J117" s="18"/>
      <c r="L117" s="18"/>
    </row>
    <row r="118" spans="6:12">
      <c r="F118" s="378" t="s">
        <v>41</v>
      </c>
      <c r="G118" s="379"/>
      <c r="H118" s="380"/>
      <c r="I118" s="76">
        <f>K92</f>
        <v>6.8099999999999994E-2</v>
      </c>
      <c r="J118" s="18"/>
      <c r="L118" s="18"/>
    </row>
    <row r="119" spans="6:12">
      <c r="F119" s="75" t="s">
        <v>60</v>
      </c>
      <c r="G119" s="75"/>
      <c r="H119" s="76"/>
      <c r="I119" s="76">
        <f>I95</f>
        <v>0.13250000000000001</v>
      </c>
      <c r="J119" s="18"/>
      <c r="L119" s="18"/>
    </row>
    <row r="120" spans="6:12">
      <c r="F120" s="381" t="s">
        <v>61</v>
      </c>
      <c r="G120" s="382"/>
      <c r="H120" s="383"/>
      <c r="I120" s="76">
        <f>(1+I117)*(1+I118)/(1-I119)-1</f>
        <v>0.29280115273775253</v>
      </c>
      <c r="J120" s="18"/>
      <c r="L120" s="18"/>
    </row>
  </sheetData>
  <mergeCells count="126"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43</vt:i4>
      </vt:variant>
    </vt:vector>
  </HeadingPairs>
  <TitlesOfParts>
    <vt:vector size="56" baseType="lpstr">
      <vt:lpstr>Plan. Auxiliar</vt:lpstr>
      <vt:lpstr>Benef. e Insumos</vt:lpstr>
      <vt:lpstr>VIG. DIURNO</vt:lpstr>
      <vt:lpstr>VIG. NOTURNO</vt:lpstr>
      <vt:lpstr>QUADRO RESUMO</vt:lpstr>
      <vt:lpstr>"03" Laborat.</vt:lpstr>
      <vt:lpstr>"04" Almoxarifados</vt:lpstr>
      <vt:lpstr>"05" Oficinas</vt:lpstr>
      <vt:lpstr>"06" Esp.Livres</vt:lpstr>
      <vt:lpstr>"08" P. Adj e Cont.</vt:lpstr>
      <vt:lpstr>"09" Varrição</vt:lpstr>
      <vt:lpstr>"10" Pat. e Áreas Verdes</vt:lpstr>
      <vt:lpstr>"14" Fachada Envidraçada</vt:lpstr>
      <vt:lpstr>Aparecida</vt:lpstr>
      <vt:lpstr>Araçatuba</vt:lpstr>
      <vt:lpstr>'VIG. DIURNO'!Area_de_impressao</vt:lpstr>
      <vt:lpstr>'VIG. NOTURNO'!Area_de_impressao</vt:lpstr>
      <vt:lpstr>Arujá</vt:lpstr>
      <vt:lpstr>Atibaia</vt:lpstr>
      <vt:lpstr>Barra_do_Turvo</vt:lpstr>
      <vt:lpstr>Bauru</vt:lpstr>
      <vt:lpstr>'VIG. NOTURNO'!C_</vt:lpstr>
      <vt:lpstr>C_</vt:lpstr>
      <vt:lpstr>Caçapava</vt:lpstr>
      <vt:lpstr>Cachoeira_Paulista</vt:lpstr>
      <vt:lpstr>Cajati</vt:lpstr>
      <vt:lpstr>Campinas</vt:lpstr>
      <vt:lpstr>'VIG. NOTURNO'!D</vt:lpstr>
      <vt:lpstr>D</vt:lpstr>
      <vt:lpstr>Del_05_Posto_Barra_do_Turvo</vt:lpstr>
      <vt:lpstr>Del_10_Marília</vt:lpstr>
      <vt:lpstr>Guaiçara</vt:lpstr>
      <vt:lpstr>Guarulhos</vt:lpstr>
      <vt:lpstr>Itapecerica_da_Serra</vt:lpstr>
      <vt:lpstr>Lavrinhas</vt:lpstr>
      <vt:lpstr>Marília</vt:lpstr>
      <vt:lpstr>Miracatu</vt:lpstr>
      <vt:lpstr>Municípios</vt:lpstr>
      <vt:lpstr>Osasco</vt:lpstr>
      <vt:lpstr>Ourinhos</vt:lpstr>
      <vt:lpstr>Piquete</vt:lpstr>
      <vt:lpstr>Piracicaba</vt:lpstr>
      <vt:lpstr>Presidente_Prudente</vt:lpstr>
      <vt:lpstr>PSF_Campinas</vt:lpstr>
      <vt:lpstr>PSU_Marília</vt:lpstr>
      <vt:lpstr>Registro</vt:lpstr>
      <vt:lpstr>Ribeirão_Preto</vt:lpstr>
      <vt:lpstr>Roseira</vt:lpstr>
      <vt:lpstr>Santos</vt:lpstr>
      <vt:lpstr>São_José_do_Rio_Preto</vt:lpstr>
      <vt:lpstr>São_José_dos_Campos</vt:lpstr>
      <vt:lpstr>São_Paulo</vt:lpstr>
      <vt:lpstr>Sorocaba</vt:lpstr>
      <vt:lpstr>Taubaté</vt:lpstr>
      <vt:lpstr>Ubatuba</vt:lpstr>
      <vt:lpstr>Vargem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Alissa Iegoroff de Almeida</cp:lastModifiedBy>
  <cp:lastPrinted>2019-09-23T18:04:40Z</cp:lastPrinted>
  <dcterms:created xsi:type="dcterms:W3CDTF">2016-05-03T22:07:00Z</dcterms:created>
  <dcterms:modified xsi:type="dcterms:W3CDTF">2019-09-23T18:04:44Z</dcterms:modified>
</cp:coreProperties>
</file>